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JDvPWz4FJsIchvQ92EICL43Z4pSoA/u2MQTggzPoiXNNfiX2PDYc79nGkCzDUKnaxMwqp9sHYnA5lsXYm88yOQ==" workbookSaltValue="5iEgzHHcKfwpyBSsTMq3w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N11" i="11"/>
  <c r="ES19" i="8"/>
  <c r="C18" i="7"/>
  <c r="S19" i="13"/>
  <c r="AG19" i="19"/>
  <c r="CI19" i="8"/>
  <c r="AE19" i="8"/>
  <c r="EP19" i="8"/>
  <c r="ER19" i="13"/>
  <c r="AL13" i="16"/>
  <c r="S13" i="16"/>
  <c r="H18" i="16"/>
  <c r="P13" i="16"/>
  <c r="AN13" i="20"/>
  <c r="F15" i="17"/>
  <c r="F17" i="17"/>
  <c r="AQ17" i="17" s="1"/>
  <c r="F9" i="2"/>
  <c r="N13" i="2"/>
  <c r="AC10" i="11"/>
  <c r="T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6" l="1"/>
  <c r="BL17" i="16" s="1"/>
  <c r="C17" i="6"/>
  <c r="Y19" i="8"/>
  <c r="F16" i="17"/>
  <c r="S19" i="8"/>
  <c r="AW18" i="21"/>
  <c r="Z19" i="8"/>
  <c r="AB19" i="8"/>
  <c r="H13" i="12"/>
  <c r="H12" i="2"/>
  <c r="AL10" i="11"/>
  <c r="B17" i="6"/>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F19" i="7"/>
  <c r="K16" i="12"/>
  <c r="D19" i="5"/>
  <c r="I10" i="12"/>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Y20" i="11"/>
  <c r="Q20" i="11"/>
  <c r="P20" i="17"/>
  <c r="U20" i="11"/>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<sst xmlns="http://schemas.openxmlformats.org/spreadsheetml/2006/main" count="2102" uniqueCount="918">
  <si>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</si>
  <si>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</si>
  <si>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</si>
  <si>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</si>
  <si>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</si>
  <si>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</si>
  <si>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</si>
  <si>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</si>
  <si>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</si>
  <si>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</si>
  <si>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</si>
  <si>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</si>
  <si>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</si>
  <si>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</si>
  <si>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</si>
  <si>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</si>
  <si>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</si>
  <si>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</si>
  <si>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</si>
  <si>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</si>
  <si>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</si>
  <si>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</si>
  <si>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</si>
  <si>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</si>
  <si>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</si>
  <si>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</si>
  <si>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</si>
  <si>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</si>
  <si>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</si>
  <si>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</si>
  <si>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</si>
  <si>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</si>
  <si>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</si>
  <si>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</si>
  <si>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</si>
  <si>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</si>
  <si>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</si>
  <si>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</si>
  <si>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</si>
  <si>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</si>
  <si>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</si>
  <si>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</si>
  <si>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</si>
  <si>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</si>
  <si>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</si>
  <si>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</si>
  <si>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</si>
  <si>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</si>
  <si>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</si>
  <si>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</si>
  <si>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</si>
  <si>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</si>
  <si>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</si>
  <si>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</si>
  <si>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</si>
  <si>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</si>
  <si>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</si>
  <si>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</si>
  <si>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</si>
  <si>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</si>
  <si>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</si>
  <si>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</si>
  <si>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</si>
  <si>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</si>
  <si>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</si>
  <si>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</si>
  <si>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</si>
  <si>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</si>
  <si>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</si>
  <si>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</si>
  <si>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</si>
  <si>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</si>
  <si>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</si>
  <si>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</si>
  <si>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</si>
  <si>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</si>
  <si>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</si>
  <si>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</si>
  <si>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</si>
  <si>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</si>
  <si>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</si>
  <si>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</si>
  <si>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</si>
  <si>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</si>
  <si>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</si>
  <si>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</si>
  <si>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</si>
  <si>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</si>
  <si>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</si>
  <si>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</si>
  <si>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</si>
  <si>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</si>
  <si>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</si>
  <si>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</si>
  <si>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</si>
  <si>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</si>
  <si>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</si>
  <si>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</si>
  <si>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</si>
  <si>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</si>
  <si>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</si>
  <si>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</si>
  <si>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</si>
  <si>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</si>
  <si>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</si>
  <si>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</si>
  <si>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</si>
  <si>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</si>
  <si>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</si>
  <si>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</si>
  <si>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</si>
  <si>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</si>
  <si>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</si>
  <si>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</si>
  <si>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</si>
  <si>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</si>
  <si>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</si>
  <si>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</si>
  <si>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</si>
  <si>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</si>
  <si>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</si>
  <si>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</si>
  <si>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</si>
  <si>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</si>
  <si>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</si>
  <si>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</si>
  <si>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</si>
  <si>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</si>
  <si>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</si>
  <si>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</si>
  <si>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</si>
  <si>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</si>
  <si>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</si>
  <si>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</si>
  <si>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</si>
  <si>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</si>
  <si>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</si>
  <si>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</si>
  <si>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</si>
  <si>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</si>
  <si>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</si>
  <si>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</si>
  <si>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</si>
  <si>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</si>
  <si>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</si>
  <si>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</si>
  <si>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</si>
  <si>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</si>
  <si>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</si>
  <si>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</si>
  <si>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</si>
  <si>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</si>
  <si>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</si>
  <si>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</si>
  <si>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</si>
  <si>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</si>
  <si>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</si>
  <si>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</si>
  <si>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</si>
  <si>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</si>
  <si>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</si>
  <si>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</si>
  <si>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</si>
  <si>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</si>
  <si>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</si>
  <si>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</si>
  <si>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</si>
  <si>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</si>
  <si>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</si>
  <si>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</si>
  <si>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</si>
  <si>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</si>
  <si>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</si>
  <si>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</si>
  <si>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</si>
  <si>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</si>
  <si>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</si>
  <si>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</si>
  <si>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</si>
  <si>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</si>
  <si>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</si>
  <si>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</si>
  <si>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</si>
  <si>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</si>
  <si>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</si>
  <si>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</si>
  <si>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</si>
  <si>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</si>
  <si>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</si>
  <si>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</si>
  <si>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</si>
  <si>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</si>
  <si>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</si>
  <si>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</si>
  <si>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</si>
  <si>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</si>
  <si>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</si>
  <si>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</si>
  <si>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</si>
  <si>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</si>
  <si>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</si>
  <si>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</si>
  <si>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</si>
  <si>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</si>
  <si>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</si>
  <si>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</si>
  <si>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</si>
  <si>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</si>
  <si>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</si>
  <si>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</si>
  <si>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</si>
  <si>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</si>
  <si>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</si>
  <si>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</si>
  <si>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</si>
  <si>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</si>
  <si>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</si>
  <si>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</si>
  <si>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</si>
  <si>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</si>
  <si>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</si>
  <si>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</si>
  <si>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</si>
  <si>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</si>
  <si>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</si>
  <si>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</si>
  <si>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</si>
  <si>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</si>
  <si>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</si>
  <si>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</si>
  <si>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</si>
  <si>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</si>
  <si>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</si>
  <si>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</si>
  <si>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</si>
  <si>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</si>
  <si>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</si>
  <si>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</si>
  <si>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</si>
  <si>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</si>
  <si>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</si>
  <si>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</si>
  <si>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</si>
  <si>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</si>
  <si>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</si>
  <si>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</si>
  <si>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</si>
  <si>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</si>
  <si>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</si>
  <si>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</si>
  <si>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</si>
  <si>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</si>
  <si>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</si>
  <si>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</si>
  <si>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</si>
  <si>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</si>
  <si>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</si>
  <si>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</si>
  <si>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</si>
  <si>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</si>
  <si>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</si>
  <si>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</si>
  <si>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</si>
  <si>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</si>
  <si>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</si>
  <si>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</si>
  <si>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</si>
  <si>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</si>
  <si>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</si>
  <si>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</si>
  <si>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</si>
  <si>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</si>
  <si>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</si>
  <si>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</si>
  <si>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</si>
  <si>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</si>
  <si>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</si>
  <si>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</si>
  <si>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</si>
  <si>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</si>
  <si>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</si>
  <si>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</si>
  <si>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</si>
  <si>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</si>
  <si>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</si>
  <si>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</si>
  <si>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</si>
  <si>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</si>
  <si>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</si>
  <si>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</si>
  <si>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</si>
  <si>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</si>
  <si>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</si>
  <si>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</si>
  <si>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</si>
  <si>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</si>
  <si>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</si>
  <si>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</si>
  <si>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</si>
  <si>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</si>
  <si>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</si>
  <si>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</si>
  <si>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</si>
  <si>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</si>
  <si>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</si>
  <si>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</si>
  <si>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</si>
  <si>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</si>
  <si>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</si>
  <si>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</si>
  <si>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</si>
  <si>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</si>
  <si>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</si>
  <si>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</si>
  <si>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</si>
  <si>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</si>
  <si>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</si>
  <si>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</si>
  <si>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</si>
  <si>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</si>
  <si>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</si>
  <si>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</si>
  <si>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</si>
  <si>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</si>
  <si>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</si>
  <si>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</si>
  <si>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</si>
  <si>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</si>
  <si>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</si>
  <si>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</si>
  <si>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</si>
  <si>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</si>
  <si>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</si>
  <si>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</si>
  <si>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</si>
  <si>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</si>
  <si>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</si>
  <si>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</si>
  <si>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</si>
  <si>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</si>
  <si>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</si>
  <si>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</si>
  <si>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</si>
  <si>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</si>
  <si>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</si>
  <si>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</si>
  <si>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</si>
  <si>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</si>
  <si>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</si>
  <si>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</si>
  <si>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</si>
  <si>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</si>
  <si>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</si>
  <si>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</si>
  <si>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</si>
  <si>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</si>
  <si>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</si>
  <si>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</si>
  <si>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</si>
  <si>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</si>
  <si>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</si>
  <si>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</si>
  <si>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</si>
  <si>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</si>
  <si>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</si>
  <si>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</si>
  <si>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</si>
  <si>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</si>
  <si>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</si>
  <si>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</si>
  <si>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</si>
  <si>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</si>
  <si>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</si>
  <si>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</si>
  <si>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</si>
  <si>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</si>
  <si>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</si>
  <si>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</si>
  <si>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</si>
  <si>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</si>
  <si>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</si>
  <si>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</si>
  <si>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</si>
  <si>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</si>
  <si>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</si>
  <si>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</si>
  <si>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</si>
  <si>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</si>
  <si>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</si>
  <si>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</si>
  <si>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</si>
  <si>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</si>
  <si>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</si>
  <si>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</si>
  <si>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</si>
  <si>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</si>
  <si>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</si>
  <si>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</si>
  <si>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</si>
  <si>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</si>
  <si>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</si>
  <si>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</si>
  <si>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</si>
  <si>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</si>
  <si>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</si>
  <si>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</si>
  <si>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</si>
  <si>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</si>
  <si>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</si>
  <si>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</si>
  <si>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</si>
  <si>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</si>
  <si>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</si>
  <si>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</si>
  <si>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</si>
  <si>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</si>
  <si>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</si>
  <si>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</si>
  <si>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</si>
  <si>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</si>
  <si>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</si>
  <si>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</si>
  <si>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</si>
  <si>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</si>
  <si>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</si>
  <si>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</si>
  <si>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</si>
  <si>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</si>
  <si>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</si>
  <si>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</si>
  <si>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</si>
  <si>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</si>
  <si>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</si>
  <si>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</si>
  <si>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</si>
  <si>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</si>
  <si>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</si>
  <si>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</si>
  <si>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</si>
  <si>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</si>
  <si>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</si>
  <si>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</si>
  <si>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</si>
  <si>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</si>
  <si>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</si>
  <si>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</si>
  <si>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</si>
  <si>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</si>
  <si>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</si>
  <si>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</si>
  <si>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</si>
  <si>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</si>
  <si>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</si>
  <si>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</si>
  <si>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</si>
  <si>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</si>
  <si>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</si>
  <si>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</si>
  <si>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</si>
  <si>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</si>
  <si>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</si>
  <si>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</si>
  <si>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</si>
  <si>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</si>
  <si>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</si>
  <si>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</si>
  <si>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</si>
  <si>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</si>
  <si>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</si>
  <si>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</si>
  <si>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</si>
  <si>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</si>
  <si>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</si>
  <si>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</si>
  <si>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</si>
  <si>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</si>
  <si>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</si>
  <si>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</si>
  <si>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</si>
  <si>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</si>
  <si>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</si>
  <si>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</si>
  <si>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</si>
  <si>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</si>
  <si>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</si>
  <si>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</si>
  <si>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</si>
  <si>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</si>
  <si>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</si>
  <si>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</si>
  <si>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</si>
  <si>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</si>
  <si>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</si>
  <si>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</si>
  <si>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</si>
  <si>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</si>
  <si>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</si>
  <si>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</si>
  <si>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</si>
  <si>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</si>
  <si>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</si>
  <si>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</si>
  <si>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</si>
  <si>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</si>
  <si>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</si>
  <si>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</si>
  <si>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</si>
  <si>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</si>
  <si>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</si>
  <si>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</si>
  <si>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</si>
  <si>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</si>
  <si>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</si>
  <si>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</si>
  <si>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</si>
  <si>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</si>
  <si>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</si>
  <si>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</si>
  <si>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</si>
  <si>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</si>
  <si>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</si>
  <si>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</si>
  <si>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</si>
  <si>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</si>
  <si>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</si>
  <si>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</si>
  <si>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</si>
  <si>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</si>
  <si>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</si>
  <si>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</si>
  <si>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</si>
  <si>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</si>
  <si>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</si>
  <si>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</si>
  <si>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</si>
  <si>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</si>
  <si>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</si>
  <si>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</si>
  <si>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</si>
  <si>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</si>
  <si>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</si>
  <si>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</si>
  <si>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</si>
  <si>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</si>
  <si>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</si>
  <si>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</si>
  <si>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</si>
  <si>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</si>
  <si>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</si>
  <si>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</si>
  <si>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</si>
  <si>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</si>
  <si>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</si>
  <si>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</si>
  <si>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</si>
  <si>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</si>
  <si>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</si>
  <si>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</si>
  <si>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</si>
  <si>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</si>
  <si>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</si>
  <si>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</si>
  <si>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</si>
  <si>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</si>
  <si>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</si>
  <si>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</si>
  <si>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</si>
  <si>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</si>
  <si>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</si>
  <si>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</si>
  <si>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</si>
  <si>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</si>
  <si>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</si>
  <si>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</si>
  <si>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</si>
  <si>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</si>
  <si>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</si>
  <si>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</si>
  <si>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</si>
  <si>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</si>
  <si>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</si>
  <si>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</si>
  <si>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</si>
  <si>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</si>
  <si>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</si>
  <si>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</si>
  <si>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</si>
  <si>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</si>
  <si>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</si>
  <si>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</si>
  <si>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</si>
  <si>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</si>
  <si>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</si>
  <si>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</si>
  <si>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</si>
  <si>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</si>
  <si>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</si>
  <si>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</si>
  <si>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</si>
  <si>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</si>
  <si>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</si>
  <si>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</si>
  <si>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</si>
  <si>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</si>
  <si>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</si>
  <si>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</si>
  <si>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</si>
  <si>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</si>
  <si>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</si>
  <si>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</si>
  <si>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</si>
  <si>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</si>
  <si>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</si>
  <si>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</si>
  <si>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</si>
  <si>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</si>
  <si>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</si>
  <si>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</si>
  <si>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</si>
  <si>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</si>
  <si>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</si>
  <si>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</si>
  <si>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</si>
  <si>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</si>
  <si>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</si>
  <si>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</si>
  <si>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</si>
  <si>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</si>
  <si>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</si>
  <si>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</si>
  <si>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</si>
  <si>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</si>
  <si>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</si>
  <si>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</si>
  <si>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</si>
  <si>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</si>
  <si>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</si>
  <si>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</si>
  <si>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</si>
  <si>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</si>
  <si>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</si>
  <si>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</si>
  <si>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</si>
  <si>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</si>
  <si>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</si>
  <si>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</si>
  <si>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</si>
  <si>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</si>
  <si>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</si>
  <si>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</si>
  <si>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</si>
  <si>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</si>
  <si>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</si>
  <si>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</si>
  <si>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</si>
  <si>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</si>
  <si>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</si>
  <si>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</si>
  <si>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</si>
  <si>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</si>
  <si>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</si>
  <si>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</si>
  <si>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</si>
  <si>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</si>
  <si>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</si>
  <si>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</si>
  <si>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</si>
  <si>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</si>
  <si>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</si>
  <si>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</si>
  <si>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</si>
  <si>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</si>
  <si>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</si>
  <si>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</si>
  <si>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</si>
  <si>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</si>
  <si>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</si>
  <si>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</si>
  <si>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</si>
  <si>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</si>
  <si>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</si>
  <si>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</si>
  <si>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</si>
  <si>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</si>
  <si>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</si>
  <si>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</si>
  <si>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</si>
  <si>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</si>
  <si>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</si>
  <si>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</si>
  <si>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</si>
  <si>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</si>
  <si>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</si>
  <si>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</si>
  <si>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</si>
  <si>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</si>
  <si>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</si>
  <si>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</si>
  <si>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</si>
  <si>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</si>
  <si>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</si>
  <si>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</si>
  <si>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</si>
  <si>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</si>
  <si>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</si>
  <si>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</si>
  <si>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</si>
  <si>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</si>
  <si>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</si>
  <si>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</si>
  <si>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</si>
  <si>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</si>
  <si>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</si>
  <si>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</si>
  <si>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</si>
  <si>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</si>
  <si>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</si>
  <si>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</si>
  <si>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</si>
  <si>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</si>
  <si>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</si>
  <si>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</si>
  <si>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</si>
  <si>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</si>
  <si>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</si>
  <si>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</si>
  <si>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</si>
  <si>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</si>
  <si>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</si>
  <si>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</si>
  <si>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</si>
  <si>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</si>
  <si>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</si>
  <si>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</si>
  <si>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</si>
  <si>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</si>
  <si>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</si>
  <si>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</si>
  <si>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</si>
  <si>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</si>
  <si>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</si>
  <si>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</si>
  <si>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</si>
  <si>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</si>
  <si>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</si>
  <si>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</si>
  <si>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</si>
  <si>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</si>
  <si>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</si>
  <si>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</si>
  <si>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</si>
  <si>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</si>
  <si>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</si>
  <si>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</si>
  <si>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</si>
  <si>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</si>
  <si>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</si>
  <si>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</si>
  <si>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</si>
  <si>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</si>
  <si>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</si>
  <si>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</si>
  <si>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</si>
  <si>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</si>
  <si>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</si>
  <si>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</si>
  <si>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</si>
  <si>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</si>
  <si>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</si>
  <si>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</si>
  <si>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</si>
  <si>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</si>
  <si>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</si>
  <si>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</si>
  <si>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</si>
  <si>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</si>
  <si>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</si>
  <si>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</si>
  <si>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</si>
  <si>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</si>
  <si>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</si>
  <si>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</si>
  <si>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</si>
  <si>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</si>
  <si>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</si>
  <si>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</si>
  <si>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</si>
  <si>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</si>
  <si>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</si>
  <si>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</si>
  <si>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</si>
  <si>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</si>
  <si>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</si>
  <si>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</si>
  <si>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</si>
  <si>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</si>
  <si>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</si>
  <si>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</si>
  <si>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</si>
  <si>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</si>
  <si>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</si>
  <si>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</si>
  <si>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</si>
  <si>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</si>
  <si>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</si>
  <si>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</si>
  <si>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</si>
  <si>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</si>
  <si>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</si>
  <si>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</si>
  <si>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</si>
  <si>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</si>
  <si>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</si>
  <si>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</si>
  <si>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</si>
  <si>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</si>
  <si>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</si>
  <si>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</si>
  <si>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</si>
  <si>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</si>
  <si>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</si>
  <si>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</si>
  <si>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</si>
  <si>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</si>
  <si>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</si>
  <si>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</si>
  <si>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</si>
  <si>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</si>
  <si>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</si>
  <si>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</si>
  <si>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</si>
  <si>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</si>
  <si>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</si>
  <si>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</si>
  <si>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</si>
  <si>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</si>
  <si>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</si>
  <si>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</si>
  <si>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</si>
  <si>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</si>
  <si>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</si>
  <si>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</si>
  <si>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</si>
  <si>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</si>
  <si>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</si>
  <si>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</si>
  <si>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</si>
  <si>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</si>
  <si>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</si>
  <si>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</si>
  <si>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</si>
  <si>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</si>
  <si>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</si>
  <si>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</si>
  <si>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</si>
  <si>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</si>
  <si>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</si>
  <si>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</si>
  <si>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</si>
  <si>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</si>
  <si>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</si>
  <si>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</si>
  <si>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</si>
  <si>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</si>
  <si>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</si>
  <si>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</si>
  <si>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</si>
  <si>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</si>
  <si>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</si>
  <si>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</si>
  <si>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</si>
  <si>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</si>
  <si>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</si>
  <si>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</si>
  <si>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</si>
  <si>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</si>
  <si>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</si>
  <si>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</si>
  <si>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</si>
  <si>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</si>
  <si>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</si>
  <si>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</si>
  <si>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</si>
  <si>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</si>
  <si>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</si>
  <si>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</si>
  <si>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</si>
  <si>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</si>
  <si>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</si>
  <si>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</si>
  <si>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</si>
  <si>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</si>
  <si>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</si>
  <si>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</si>
  <si>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</si>
  <si>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</si>
  <si>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</si>
  <si>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</si>
  <si>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</si>
  <si>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</si>
  <si>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</si>
  <si>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</si>
  <si>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</si>
  <si>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</si>
  <si>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</si>
  <si>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</si>
  <si>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</si>
  <si>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</si>
  <si>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</si>
  <si>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</si>
  <si>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</si>
  <si>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</si>
  <si>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</si>
  <si>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</si>
  <si>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</si>
  <si>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</si>
  <si>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</si>
  <si>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DOS HERMANAS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</si>
</sst>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w1zfo4pzgrB7A1rUhlJJ10ox3xWa4T9b7wseyfGlB2zUTWe7zBbAEktkvUC3tpZoC1MKGqzSfSAthDqxeJV4Rw==" saltValue="qC3u6mhsTUnKTjBZZ8w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55</v>
      </c>
      <c r="D10" s="224">
        <f>IF(ISNUMBER(Datos!I10),Datos!I10," - ")</f>
        <v>55</v>
      </c>
      <c r="E10" s="225">
        <f>IF(ISNUMBER(Datos!J10),Datos!J10," - ")</f>
        <v>20</v>
      </c>
      <c r="F10" s="225">
        <f>IF(ISNUMBER(Datos!K10),Datos!K10," - ")</f>
        <v>25</v>
      </c>
      <c r="G10" s="1033" t="str">
        <f>IF(Datos!E10&lt;&gt;"",Datos!E10,Datos!D10)</f>
        <v>37</v>
      </c>
      <c r="H10" s="226">
        <f>IF(ISNUMBER(Datos!L10),Datos!L10," - ")</f>
        <v>50</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7</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43.948405253283305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55</v>
      </c>
      <c r="D13" s="1048">
        <f>SUBTOTAL(9,D9:D12)</f>
        <v>55</v>
      </c>
      <c r="E13" s="1049">
        <f>SUBTOTAL(9,E9:E12)</f>
        <v>20</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7</v>
      </c>
      <c r="B16" s="501" t="str">
        <f>Datos!A16</f>
        <v xml:space="preserve">Jdos. 1ª Instª. e Instr./Secc. Civil y de Inst. TI                      </v>
      </c>
      <c r="C16" s="224">
        <f t="shared" si="2"/>
        <v>2745</v>
      </c>
      <c r="D16" s="224">
        <f>IF(ISNUMBER(IF(D_I="SI",Datos!I16,Datos!I16+Datos!AC16)),IF(D_I="SI",Datos!I16,Datos!I16+Datos!AC16)," - ")</f>
        <v>2743</v>
      </c>
      <c r="E16" s="225">
        <f>IF(ISNUMBER(IF(D_I="SI",Datos!J16,Datos!J16+Datos!AD16)),IF(D_I="SI",Datos!J16,Datos!J16+Datos!AD16)," - ")</f>
        <v>1561</v>
      </c>
      <c r="F16" s="225">
        <f>IF(ISNUMBER(IF(D_I="SI",Datos!K16,Datos!K16+Datos!AE16)),IF(D_I="SI",Datos!K16,Datos!K16+Datos!AE16)," - ")</f>
        <v>1652</v>
      </c>
      <c r="G16" s="1033" t="str">
        <f>IF(Datos!E16&lt;&gt;"",Datos!E16,Datos!D16)</f>
        <v>04</v>
      </c>
      <c r="H16" s="226">
        <f>IF(ISNUMBER(IF(D_I="SI",Datos!L16,Datos!L16+Datos!AF16)),IF(D_I="SI",Datos!L16,Datos!L16+Datos!AF16)," - ")</f>
        <v>2654</v>
      </c>
      <c r="I16" s="1043" t="str">
        <f>IF(ISNUMBER(Datos!AS16/Datos!BM16),Datos!AS16/Datos!BM16," - ")</f>
        <v xml:space="preserve"> - </v>
      </c>
      <c r="J16" s="1044">
        <f>IF(ISNUMBER(Datos!BY16/Datos!CN16),Datos!BY16/Datos!CN16," - ")</f>
        <v>0</v>
      </c>
      <c r="K16" s="229">
        <f t="shared" si="3"/>
        <v>-3.3151183970856105E-2</v>
      </c>
      <c r="L16" s="1024">
        <f>IF(ISNUMBER(NºAsuntos!I16/NºAsuntos!G16),(NºAsuntos!I16/NºAsuntos!G16)*11," - ")</f>
        <v>17.671912832929781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229</v>
      </c>
      <c r="D17" s="224">
        <f>IF(ISNUMBER(IF(D_I="SI",Datos!I17,Datos!I17+Datos!AC17)),IF(D_I="SI",Datos!I17,Datos!I17+Datos!AC17)," - ")</f>
        <v>229</v>
      </c>
      <c r="E17" s="225">
        <f>IF(ISNUMBER(IF(D_I="SI",Datos!J17,Datos!J17+Datos!AD17)),IF(D_I="SI",Datos!J17,Datos!J17+Datos!AD17)," - ")</f>
        <v>98</v>
      </c>
      <c r="F17" s="225">
        <f>IF(ISNUMBER(IF(D_I="SI",Datos!K17,Datos!K17+Datos!AE17)),IF(D_I="SI",Datos!K17,Datos!K17+Datos!AE17)," - ")</f>
        <v>149</v>
      </c>
      <c r="G17" s="1033" t="str">
        <f>IF(Datos!E17&lt;&gt;"",Datos!E17,Datos!D17)</f>
        <v>37</v>
      </c>
      <c r="H17" s="226">
        <f>IF(ISNUMBER(IF(D_I="SI",Datos!L17,Datos!L17+Datos!AF17)),IF(D_I="SI",Datos!L17,Datos!L17+Datos!AF17)," - ")</f>
        <v>178</v>
      </c>
      <c r="I17" s="1043" t="str">
        <f>IF(ISNUMBER(Datos!AS17/Datos!BM17),Datos!AS17/Datos!BM17," - ")</f>
        <v xml:space="preserve"> - </v>
      </c>
      <c r="J17" s="1044" t="str">
        <f>IF(ISNUMBER((Datos!BY17+Datos!BZ17)/Datos!CN17),(Datos!BY17+Datos!BZ17)/Datos!CN17," - ")</f>
        <v xml:space="preserve"> - </v>
      </c>
      <c r="K17" s="229">
        <f t="shared" si="3"/>
        <v>-0.22270742358078602</v>
      </c>
      <c r="L17" s="1024">
        <f>IF(ISNUMBER(NºAsuntos!I17/NºAsuntos!G17),(NºAsuntos!I17/NºAsuntos!G17)*11," - ")</f>
        <v>13.140939597315437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2974</v>
      </c>
      <c r="D18" s="1048">
        <f>SUBTOTAL(9,D15:D17)</f>
        <v>2972</v>
      </c>
      <c r="E18" s="1049">
        <f>SUBTOTAL(9,E15:E17)</f>
        <v>1659</v>
      </c>
      <c r="F18" s="1049">
        <f>SUBTOTAL(9,F15:F17)</f>
        <v>1801</v>
      </c>
      <c r="G18" s="1051" t="str">
        <f ca="1">INDIRECT(CONCATENATE("G",ROW()-1))</f>
        <v>37</v>
      </c>
      <c r="H18" s="1052">
        <f ca="1">SUMIF(G$14:G17,G18,H$14:H17)</f>
        <v>178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3029</v>
      </c>
      <c r="D19" s="1070">
        <f>SUBTOTAL(9,D9:D18)</f>
        <v>3027</v>
      </c>
      <c r="E19" s="1071">
        <f>SUBTOTAL(9,E9:E18)</f>
        <v>1679</v>
      </c>
      <c r="F19" s="1071">
        <f>SUBTOTAL(9,F9:F18)</f>
        <v>1826</v>
      </c>
      <c r="G19" s="1072"/>
      <c r="H19" s="1073">
        <f ca="1">SUMIF(B9:B18,"TOTAL",H9:H18)</f>
        <v>178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v8h9qvoCkXxr8KAZTJL7sRTUhwRXGHi/RyIRigqeFFukE1o6p/uJkHLnzrEeCJ57sCnnVCKupmgx26JYvXOvA==" saltValue="xRpQ3JpVYnirhGuUnDbj6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IUUsQrldfYvmtpVX3cnZjv5GVkkgEANb3l72mZa4r6HbVbmKTEkY9eq10GxgiR8mvNiFhagm7xNWwAwYEecUQ==" saltValue="IdPqpyc3Q4zA2z5bI8kuT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55</v>
      </c>
      <c r="J10" s="180">
        <v>20</v>
      </c>
      <c r="K10" s="180">
        <v>25</v>
      </c>
      <c r="L10" s="180">
        <v>50</v>
      </c>
      <c r="M10" s="180">
        <v>5</v>
      </c>
      <c r="N10" s="180">
        <v>11</v>
      </c>
      <c r="O10" s="180">
        <v>0</v>
      </c>
      <c r="P10" s="180">
        <v>4</v>
      </c>
      <c r="Q10" s="180">
        <v>0</v>
      </c>
      <c r="R10" s="180">
        <v>24</v>
      </c>
      <c r="S10" s="180">
        <v>37</v>
      </c>
      <c r="T10" s="180">
        <v>23</v>
      </c>
      <c r="U10" s="180">
        <v>3</v>
      </c>
      <c r="V10" s="180">
        <v>46</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37</v>
      </c>
      <c r="AZ10" s="129">
        <f t="shared" si="0"/>
        <v>23</v>
      </c>
      <c r="BA10" s="129">
        <f t="shared" si="0"/>
        <v>3</v>
      </c>
      <c r="BB10" s="129">
        <f t="shared" si="0"/>
        <v>46</v>
      </c>
      <c r="BC10" s="125">
        <f t="shared" si="0"/>
        <v>1</v>
      </c>
      <c r="BD10" s="126">
        <f>IF(ISNUMBER(BA10/AZ10),BA10/AZ10," - ")</f>
        <v>0.13043478260869565</v>
      </c>
      <c r="BE10" s="127">
        <f>IF(ISNUMBER(BB10/BA10),BB10/BA10, " - ")</f>
        <v>15.333333333333334</v>
      </c>
      <c r="BF10" s="127">
        <f>IF(ISNUMBER(BC10/BA10),BC10/BA10, " - ")</f>
        <v>0.33333333333333331</v>
      </c>
      <c r="BG10" s="195">
        <f>IF(ISNUMBER((AY10+AZ10)/BA10),(AY10+AZ10)/BA10," - ")</f>
        <v>20</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9066</v>
      </c>
      <c r="J12" s="182">
        <v>1136</v>
      </c>
      <c r="K12" s="182">
        <v>2009</v>
      </c>
      <c r="L12" s="182">
        <v>8193</v>
      </c>
      <c r="M12" s="182">
        <v>479</v>
      </c>
      <c r="N12" s="182">
        <v>759</v>
      </c>
      <c r="O12" s="180">
        <v>979</v>
      </c>
      <c r="P12" s="182">
        <v>589</v>
      </c>
      <c r="Q12" s="182">
        <v>208</v>
      </c>
      <c r="R12" s="182">
        <v>9787</v>
      </c>
      <c r="S12" s="182">
        <v>7520</v>
      </c>
      <c r="T12" s="182">
        <v>2096</v>
      </c>
      <c r="U12" s="182">
        <v>1621</v>
      </c>
      <c r="V12" s="182">
        <v>7995</v>
      </c>
      <c r="W12" s="182">
        <v>432</v>
      </c>
      <c r="X12" s="188">
        <v>592</v>
      </c>
      <c r="Y12" s="190">
        <v>331</v>
      </c>
      <c r="Z12" s="180">
        <v>117</v>
      </c>
      <c r="AA12" s="180">
        <v>123</v>
      </c>
      <c r="AB12" s="180">
        <v>325</v>
      </c>
      <c r="AC12" s="182">
        <v>0</v>
      </c>
      <c r="AD12" s="182">
        <v>0</v>
      </c>
      <c r="AE12" s="182">
        <v>0</v>
      </c>
      <c r="AF12" s="188">
        <v>0</v>
      </c>
      <c r="AG12" s="201">
        <v>321</v>
      </c>
      <c r="AH12" s="182">
        <v>119</v>
      </c>
      <c r="AI12" s="182">
        <v>137</v>
      </c>
      <c r="AJ12" s="202">
        <v>303</v>
      </c>
      <c r="AK12" s="181">
        <v>0</v>
      </c>
      <c r="AL12" s="182">
        <v>0</v>
      </c>
      <c r="AM12" s="182">
        <v>0</v>
      </c>
      <c r="AN12" s="188">
        <v>0</v>
      </c>
      <c r="AO12" s="258">
        <v>7</v>
      </c>
      <c r="AP12" s="154">
        <v>7</v>
      </c>
      <c r="AQ12" s="154">
        <v>7</v>
      </c>
      <c r="AR12" s="153">
        <v>7</v>
      </c>
      <c r="AS12" s="339" t="s">
        <v>794</v>
      </c>
      <c r="AT12" s="202"/>
      <c r="AU12" s="201"/>
      <c r="AV12" s="202"/>
      <c r="AW12" s="201"/>
      <c r="AX12" s="202"/>
      <c r="AY12" s="126">
        <f t="shared" si="1"/>
        <v>7841</v>
      </c>
      <c r="AZ12" s="127">
        <f t="shared" si="1"/>
        <v>2215</v>
      </c>
      <c r="BA12" s="127">
        <f t="shared" si="1"/>
        <v>1758</v>
      </c>
      <c r="BB12" s="127">
        <f t="shared" si="1"/>
        <v>8298</v>
      </c>
      <c r="BC12" s="125">
        <f>IF(ISNUMBER(X12),X12," - ")</f>
        <v>592</v>
      </c>
      <c r="BD12" s="126">
        <f t="shared" si="2"/>
        <v>0.79367945823927766</v>
      </c>
      <c r="BE12" s="127">
        <f t="shared" si="3"/>
        <v>4.7201365187713309</v>
      </c>
      <c r="BF12" s="127">
        <f t="shared" si="4"/>
        <v>0.33674630261660976</v>
      </c>
      <c r="BG12" s="195">
        <f t="shared" si="5"/>
        <v>5.7201365187713309</v>
      </c>
      <c r="BH12" s="154">
        <v>7</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9121</v>
      </c>
      <c r="J13" s="183">
        <f t="shared" si="6"/>
        <v>1156</v>
      </c>
      <c r="K13" s="183">
        <f t="shared" si="6"/>
        <v>2034</v>
      </c>
      <c r="L13" s="183">
        <f t="shared" si="6"/>
        <v>8243</v>
      </c>
      <c r="M13" s="183">
        <f t="shared" si="6"/>
        <v>484</v>
      </c>
      <c r="N13" s="183">
        <f t="shared" si="6"/>
        <v>770</v>
      </c>
      <c r="O13" s="183">
        <f t="shared" si="6"/>
        <v>979</v>
      </c>
      <c r="P13" s="183">
        <f t="shared" si="6"/>
        <v>593</v>
      </c>
      <c r="Q13" s="183">
        <f t="shared" si="6"/>
        <v>208</v>
      </c>
      <c r="R13" s="183">
        <f t="shared" si="6"/>
        <v>9811</v>
      </c>
      <c r="S13" s="183">
        <f t="shared" si="6"/>
        <v>7557</v>
      </c>
      <c r="T13" s="183">
        <f t="shared" si="6"/>
        <v>2119</v>
      </c>
      <c r="U13" s="183">
        <f t="shared" si="6"/>
        <v>1624</v>
      </c>
      <c r="V13" s="183">
        <f t="shared" si="6"/>
        <v>8041</v>
      </c>
      <c r="W13" s="183">
        <f t="shared" si="6"/>
        <v>433</v>
      </c>
      <c r="X13" s="183">
        <f t="shared" si="6"/>
        <v>594</v>
      </c>
      <c r="Y13" s="183">
        <f t="shared" si="6"/>
        <v>331</v>
      </c>
      <c r="Z13" s="183">
        <f t="shared" si="6"/>
        <v>117</v>
      </c>
      <c r="AA13" s="183">
        <f t="shared" si="6"/>
        <v>123</v>
      </c>
      <c r="AB13" s="183">
        <f t="shared" si="6"/>
        <v>325</v>
      </c>
      <c r="AC13" s="183">
        <f t="shared" si="6"/>
        <v>0</v>
      </c>
      <c r="AD13" s="183">
        <f t="shared" si="6"/>
        <v>0</v>
      </c>
      <c r="AE13" s="183">
        <f t="shared" si="6"/>
        <v>0</v>
      </c>
      <c r="AF13" s="183">
        <f>SUBTOTAL(9,AF9:AF12)</f>
        <v>0</v>
      </c>
      <c r="AG13" s="183">
        <f t="shared" ref="AG13:AT13" si="7">SUBTOTAL(9,AG8:AG12)</f>
        <v>321</v>
      </c>
      <c r="AH13" s="183">
        <f t="shared" si="7"/>
        <v>119</v>
      </c>
      <c r="AI13" s="183">
        <f t="shared" si="7"/>
        <v>137</v>
      </c>
      <c r="AJ13" s="183">
        <f t="shared" si="7"/>
        <v>303</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7878</v>
      </c>
      <c r="AZ13" s="183">
        <f>SUBTOTAL(9,AZ8:AZ12)</f>
        <v>2238</v>
      </c>
      <c r="BA13" s="183">
        <f>SUBTOTAL(9,BA8:BA12)</f>
        <v>1761</v>
      </c>
      <c r="BB13" s="183">
        <f>SUBTOTAL(9,BB8:BB12)</f>
        <v>8344</v>
      </c>
      <c r="BC13" s="183">
        <f>SUBTOTAL(9,BC8:BC12)</f>
        <v>593</v>
      </c>
      <c r="BD13" s="204">
        <f>IF(ISNUMBER(BA13/AZ13),BA13/AZ13," - ")</f>
        <v>0.78686327077747986</v>
      </c>
      <c r="BE13" s="205">
        <f>IF(ISNUMBER(BB13/BA13),BB13/BA13, " - ")</f>
        <v>4.7382169222032937</v>
      </c>
      <c r="BF13" s="205">
        <f>IF(ISNUMBER(BC13/BA13),BC13/BA13, " - ")</f>
        <v>0.33674048835888698</v>
      </c>
      <c r="BG13" s="206">
        <f>IF(ISNUMBER((AY13+AZ13)/BA13),(AY13+AZ13)/BA13," - ")</f>
        <v>5.7444633730834749</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2743</v>
      </c>
      <c r="J16" s="182">
        <v>1561</v>
      </c>
      <c r="K16" s="182">
        <v>1652</v>
      </c>
      <c r="L16" s="182">
        <v>2654</v>
      </c>
      <c r="M16" s="182">
        <v>158</v>
      </c>
      <c r="N16" s="182">
        <v>1131</v>
      </c>
      <c r="O16" s="180">
        <v>22</v>
      </c>
      <c r="P16" s="182">
        <v>16</v>
      </c>
      <c r="Q16" s="182">
        <v>84</v>
      </c>
      <c r="R16" s="182">
        <v>145</v>
      </c>
      <c r="S16" s="182">
        <v>2472</v>
      </c>
      <c r="T16" s="182">
        <v>1584</v>
      </c>
      <c r="U16" s="182">
        <v>1381</v>
      </c>
      <c r="V16" s="182">
        <v>2464</v>
      </c>
      <c r="W16" s="182">
        <v>172</v>
      </c>
      <c r="X16" s="188">
        <v>909</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7</v>
      </c>
      <c r="AP16" s="154">
        <v>7</v>
      </c>
      <c r="AQ16" s="154">
        <v>7</v>
      </c>
      <c r="AR16" s="154">
        <v>7</v>
      </c>
      <c r="AS16" s="339" t="s">
        <v>487</v>
      </c>
      <c r="AT16" s="202"/>
      <c r="AU16" s="201"/>
      <c r="AV16" s="202"/>
      <c r="AW16" s="201"/>
      <c r="AX16" s="202"/>
      <c r="AY16" s="126">
        <f t="shared" si="9"/>
        <v>2472</v>
      </c>
      <c r="AZ16" s="127">
        <f t="shared" si="9"/>
        <v>1584</v>
      </c>
      <c r="BA16" s="127">
        <f t="shared" si="9"/>
        <v>1381</v>
      </c>
      <c r="BB16" s="127">
        <f t="shared" si="9"/>
        <v>2464</v>
      </c>
      <c r="BC16" s="125">
        <f>IF(ISNUMBER(W16),W16," - ")</f>
        <v>172</v>
      </c>
      <c r="BD16" s="126">
        <f t="shared" ref="BD16" si="11">IF(ISNUMBER(BA16/AZ16),BA16/AZ16," - ")</f>
        <v>0.87184343434343436</v>
      </c>
      <c r="BE16" s="127">
        <f t="shared" ref="BE16" si="12">IF(ISNUMBER(BB16/BA16),BB16/BA16, " - ")</f>
        <v>1.7842143374366402</v>
      </c>
      <c r="BF16" s="127">
        <f t="shared" ref="BF16" si="13">IF(ISNUMBER(BC16/BA16),BC16/BA16, " - ")</f>
        <v>0.12454742939898625</v>
      </c>
      <c r="BG16" s="195">
        <f t="shared" si="10"/>
        <v>2.9370021723388851</v>
      </c>
      <c r="BH16" s="154">
        <v>7</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229</v>
      </c>
      <c r="J17" s="182">
        <v>98</v>
      </c>
      <c r="K17" s="182">
        <v>149</v>
      </c>
      <c r="L17" s="182">
        <v>178</v>
      </c>
      <c r="M17" s="182">
        <v>18</v>
      </c>
      <c r="N17" s="182">
        <v>47</v>
      </c>
      <c r="O17" s="182">
        <v>0</v>
      </c>
      <c r="P17" s="182">
        <v>0</v>
      </c>
      <c r="Q17" s="182">
        <v>0</v>
      </c>
      <c r="R17" s="182">
        <v>23</v>
      </c>
      <c r="S17" s="182">
        <v>171</v>
      </c>
      <c r="T17" s="182">
        <v>202</v>
      </c>
      <c r="U17" s="182">
        <v>241</v>
      </c>
      <c r="V17" s="182">
        <v>194</v>
      </c>
      <c r="W17" s="182">
        <v>21</v>
      </c>
      <c r="X17" s="188">
        <v>160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171</v>
      </c>
      <c r="AZ17" s="129">
        <f t="shared" si="14"/>
        <v>202</v>
      </c>
      <c r="BA17" s="129">
        <f t="shared" si="14"/>
        <v>241</v>
      </c>
      <c r="BB17" s="129">
        <f t="shared" si="14"/>
        <v>194</v>
      </c>
      <c r="BC17" s="125">
        <f>IF(ISNUMBER(W17),W17," - ")</f>
        <v>21</v>
      </c>
      <c r="BD17" s="126">
        <f>IF(ISNUMBER(BA17/AZ17),BA17/AZ17," - ")</f>
        <v>1.193069306930693</v>
      </c>
      <c r="BE17" s="127">
        <f>IF(ISNUMBER(BB17/BA17),BB17/BA17, " - ")</f>
        <v>0.80497925311203322</v>
      </c>
      <c r="BF17" s="127">
        <f>IF(ISNUMBER(BC17/BA17),BC17/BA17, " - ")</f>
        <v>8.7136929460580909E-2</v>
      </c>
      <c r="BG17" s="195">
        <f>IF(ISNUMBER((AY17+AZ17)/BA17),(AY17+AZ17)/BA17," - ")</f>
        <v>1.5477178423236515</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2972</v>
      </c>
      <c r="J18" s="183">
        <f t="shared" si="15"/>
        <v>1659</v>
      </c>
      <c r="K18" s="183">
        <f t="shared" si="15"/>
        <v>1801</v>
      </c>
      <c r="L18" s="183">
        <f t="shared" si="15"/>
        <v>2832</v>
      </c>
      <c r="M18" s="183">
        <f t="shared" si="15"/>
        <v>176</v>
      </c>
      <c r="N18" s="183">
        <f t="shared" si="15"/>
        <v>1178</v>
      </c>
      <c r="O18" s="183">
        <f t="shared" si="15"/>
        <v>22</v>
      </c>
      <c r="P18" s="183">
        <f t="shared" si="15"/>
        <v>16</v>
      </c>
      <c r="Q18" s="183">
        <f t="shared" si="15"/>
        <v>84</v>
      </c>
      <c r="R18" s="183">
        <f t="shared" si="15"/>
        <v>168</v>
      </c>
      <c r="S18" s="183">
        <f t="shared" si="15"/>
        <v>2643</v>
      </c>
      <c r="T18" s="183">
        <f t="shared" si="15"/>
        <v>1786</v>
      </c>
      <c r="U18" s="183">
        <f t="shared" si="15"/>
        <v>1622</v>
      </c>
      <c r="V18" s="183">
        <f t="shared" si="15"/>
        <v>2658</v>
      </c>
      <c r="W18" s="183">
        <f t="shared" si="15"/>
        <v>193</v>
      </c>
      <c r="X18" s="183">
        <f t="shared" si="15"/>
        <v>1069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2643</v>
      </c>
      <c r="AZ18" s="183">
        <f>SUBTOTAL(9,AZ14:AZ17)</f>
        <v>1786</v>
      </c>
      <c r="BA18" s="183">
        <f>SUBTOTAL(9,BA14:BA17)</f>
        <v>1622</v>
      </c>
      <c r="BB18" s="183">
        <f>SUBTOTAL(9,BB14:BB17)</f>
        <v>2658</v>
      </c>
      <c r="BC18" s="183">
        <f>SUBTOTAL(9,BC14:BC17)</f>
        <v>193</v>
      </c>
      <c r="BD18" s="204">
        <f>IF(ISNUMBER(BA18/AZ18),BA18/AZ18," - ")</f>
        <v>0.90817469204927215</v>
      </c>
      <c r="BE18" s="205">
        <f>IF(ISNUMBER(BB18/BA18),BB18/BA18, " - ")</f>
        <v>1.6387176325524044</v>
      </c>
      <c r="BF18" s="205">
        <f>IF(ISNUMBER(BC18/BA18),BC18/BA18, " - ")</f>
        <v>0.1189889025893958</v>
      </c>
      <c r="BG18" s="206">
        <f>IF(ISNUMBER((AY18+AZ18)/BA18),(AY18+AZ18)/BA18," - ")</f>
        <v>2.7305795314426633</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12093</v>
      </c>
      <c r="J19" s="134">
        <f t="shared" si="18"/>
        <v>2815</v>
      </c>
      <c r="K19" s="134">
        <f t="shared" si="18"/>
        <v>3835</v>
      </c>
      <c r="L19" s="134">
        <f t="shared" si="18"/>
        <v>11075</v>
      </c>
      <c r="M19" s="134">
        <f t="shared" si="18"/>
        <v>660</v>
      </c>
      <c r="N19" s="134">
        <f t="shared" si="18"/>
        <v>1948</v>
      </c>
      <c r="O19" s="134">
        <f t="shared" si="18"/>
        <v>1001</v>
      </c>
      <c r="P19" s="134">
        <f t="shared" si="18"/>
        <v>609</v>
      </c>
      <c r="Q19" s="134">
        <f t="shared" si="18"/>
        <v>292</v>
      </c>
      <c r="R19" s="134">
        <f t="shared" si="18"/>
        <v>9979</v>
      </c>
      <c r="S19" s="134">
        <f t="shared" si="18"/>
        <v>10200</v>
      </c>
      <c r="T19" s="134">
        <f t="shared" si="18"/>
        <v>3905</v>
      </c>
      <c r="U19" s="134">
        <f t="shared" si="18"/>
        <v>3246</v>
      </c>
      <c r="V19" s="134">
        <f t="shared" si="18"/>
        <v>10699</v>
      </c>
      <c r="W19" s="134">
        <f t="shared" si="18"/>
        <v>626</v>
      </c>
      <c r="X19" s="134">
        <f t="shared" si="18"/>
        <v>1663</v>
      </c>
      <c r="Y19" s="134">
        <f t="shared" si="18"/>
        <v>331</v>
      </c>
      <c r="Z19" s="134">
        <f t="shared" si="18"/>
        <v>117</v>
      </c>
      <c r="AA19" s="134">
        <f t="shared" si="18"/>
        <v>123</v>
      </c>
      <c r="AB19" s="134">
        <f t="shared" si="18"/>
        <v>325</v>
      </c>
      <c r="AC19" s="134">
        <f t="shared" si="18"/>
        <v>0</v>
      </c>
      <c r="AD19" s="134">
        <f t="shared" si="18"/>
        <v>0</v>
      </c>
      <c r="AE19" s="134">
        <f t="shared" si="18"/>
        <v>0</v>
      </c>
      <c r="AF19" s="134">
        <f t="shared" si="18"/>
        <v>0</v>
      </c>
      <c r="AG19" s="134">
        <f t="shared" si="18"/>
        <v>321</v>
      </c>
      <c r="AH19" s="134">
        <f t="shared" si="18"/>
        <v>119</v>
      </c>
      <c r="AI19" s="134">
        <f t="shared" si="18"/>
        <v>137</v>
      </c>
      <c r="AJ19" s="134">
        <f t="shared" si="18"/>
        <v>303</v>
      </c>
      <c r="AK19" s="134">
        <f t="shared" si="18"/>
        <v>0</v>
      </c>
      <c r="AL19" s="134">
        <f t="shared" si="18"/>
        <v>0</v>
      </c>
      <c r="AM19" s="134">
        <f t="shared" si="18"/>
        <v>0</v>
      </c>
      <c r="AN19" s="209">
        <f t="shared" si="18"/>
        <v>0</v>
      </c>
      <c r="AO19" s="210">
        <v>9</v>
      </c>
      <c r="AP19" s="210">
        <v>8</v>
      </c>
      <c r="AQ19" s="210">
        <v>8</v>
      </c>
      <c r="AR19" s="210">
        <v>8</v>
      </c>
      <c r="AS19" s="152">
        <f t="shared" si="18"/>
        <v>0</v>
      </c>
      <c r="AT19" s="152">
        <f t="shared" si="18"/>
        <v>0</v>
      </c>
      <c r="AU19" s="210"/>
      <c r="AV19" s="211"/>
      <c r="AW19" s="210"/>
      <c r="AX19" s="211"/>
      <c r="AY19" s="133">
        <f>SUBTOTAL(9,AY9:AY18)</f>
        <v>10521</v>
      </c>
      <c r="AZ19" s="134">
        <f>SUBTOTAL(9,AZ9:AZ18)</f>
        <v>4024</v>
      </c>
      <c r="BA19" s="134">
        <f>SUBTOTAL(9,BA9:BA18)</f>
        <v>3383</v>
      </c>
      <c r="BB19" s="134">
        <f>SUBTOTAL(9,BB9:BB18)</f>
        <v>11002</v>
      </c>
      <c r="BC19" s="135">
        <f>SUBTOTAL(9,BC9:BC18)</f>
        <v>786</v>
      </c>
      <c r="BD19" s="212">
        <f>IF(ISNUMBER(BA19/AZ19),BA19/AZ19," - ")</f>
        <v>0.84070576540755471</v>
      </c>
      <c r="BE19" s="209">
        <f>IF(ISNUMBER(BB19/BA19),BB19/BA19, " - ")</f>
        <v>3.2521430682825896</v>
      </c>
      <c r="BF19" s="209">
        <f>IF(ISNUMBER(BC19/BA19),BC19/BA19, " - ")</f>
        <v>0.23233816139521135</v>
      </c>
      <c r="BG19" s="135">
        <f>IF(ISNUMBER((AY19+AZ19)/BA19),(AY19+AZ19)/BA19," - ")</f>
        <v>4.2994383683121491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YwkVW0dw9LcoZQqGvmkuK96RTpQpIXkU9/nhUZ015qn8WLk7XcvduP9sjyIgAkKc9fDSxDrcVUauSHGdxJEOQ==" saltValue="j4S2F9LoBG2tlnptq/N0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uyKcrsest22Cqrj6XlQ+mSu+60x9yanHCVSI4RrNDyQQob9R7k9i8uaOwe4x5sG40eALBpn5F+2a7m/WVep6Q==" saltValue="vTHJbEeQqyHClTChYxMJ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DOS HERMANAS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55</v>
      </c>
      <c r="G10" s="332">
        <f>IF(ISNUMBER(Datos!I10),Datos!I10," - ")</f>
        <v>55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0</v>
      </c>
      <c r="AD10" s="333"/>
      <c r="AE10" s="483"/>
      <c r="AF10" s="331">
        <f>IF(ISNUMBER(Datos!L10),Datos!L10,"-")</f>
        <v>50</v>
      </c>
      <c r="AG10" s="333"/>
      <c r="AH10" s="333"/>
      <c r="AI10" s="333"/>
      <c r="AJ10" s="333"/>
      <c r="AK10" s="333"/>
      <c r="AL10" s="478"/>
      <c r="AM10" s="334">
        <f>IF(ISNUMBER(Datos!R10),Datos!R10," - ")</f>
        <v>24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11</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259">
        <f>IF(ISNUMBER(Datos!AQ12),Datos!AQ12," - ")</f>
        <v>7</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117</v>
      </c>
      <c r="O12" s="333"/>
      <c r="P12" s="333"/>
      <c r="Q12" s="225">
        <f>IF(ISNUMBER(Datos!P12),Datos!P12,0)</f>
        <v>589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325</v>
      </c>
      <c r="AI12" s="333" t="str">
        <f>IF(ISNUMBER(Datos!CD12),Datos!CD12,"-")</f>
        <v>-</v>
      </c>
      <c r="AJ12" s="333" t="str">
        <f>IF(ISNUMBER(Datos!EN12),Datos!EN12," - ")</f>
        <v xml:space="preserve"> - </v>
      </c>
      <c r="AK12" s="333"/>
      <c r="AL12" s="478"/>
      <c r="AM12" s="334">
        <f>IF(ISNUMBER(Datos!R12),Datos!R12," - ")</f>
        <v>9787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479</v>
      </c>
      <c r="BD12" s="228">
        <f>IF(ISNUMBER(Datos!N12),Datos!N12," - ")</f>
        <v>759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1.7015163607342378</v>
      </c>
      <c r="BH12" s="259">
        <f>IF(ISNUMBER(((IF(J_V="SI",Datos!L12/Datos!K12,(Datos!L12+Datos!AB12)/(Datos!K12+Datos!AA12)))*11)/factor_trimestre),((IF(J_V="SI",Datos!L12/Datos!K12,(Datos!L12+Datos!AB12)/(Datos!K12+Datos!AA12)))*11)/factor_trimestre," - ")</f>
        <v>11.985928705440902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4.0506059961726557E-2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55</v>
      </c>
      <c r="G13" s="897">
        <f t="shared" si="0"/>
        <v>55</v>
      </c>
      <c r="H13" s="898">
        <f t="shared" si="0"/>
        <v>0</v>
      </c>
      <c r="I13" s="897">
        <f t="shared" si="0"/>
        <v>0</v>
      </c>
      <c r="J13" s="866">
        <f t="shared" si="0"/>
        <v>0</v>
      </c>
      <c r="K13" s="866">
        <f t="shared" si="0"/>
        <v>0</v>
      </c>
      <c r="L13" s="898">
        <f t="shared" si="0"/>
        <v>0</v>
      </c>
      <c r="M13" s="898">
        <f t="shared" si="0"/>
        <v>0</v>
      </c>
      <c r="N13" s="898">
        <f t="shared" si="0"/>
        <v>117</v>
      </c>
      <c r="O13" s="899">
        <f t="shared" si="0"/>
        <v>0</v>
      </c>
      <c r="P13" s="899">
        <f t="shared" si="0"/>
        <v>0</v>
      </c>
      <c r="Q13" s="898">
        <f t="shared" si="0"/>
        <v>593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208</v>
      </c>
      <c r="AD13" s="898">
        <f t="shared" si="1"/>
        <v>0</v>
      </c>
      <c r="AE13" s="898">
        <f t="shared" si="1"/>
        <v>0</v>
      </c>
      <c r="AF13" s="898">
        <f t="shared" si="1"/>
        <v>50</v>
      </c>
      <c r="AG13" s="898">
        <f t="shared" si="1"/>
        <v>0</v>
      </c>
      <c r="AH13" s="898">
        <f t="shared" si="1"/>
        <v>325</v>
      </c>
      <c r="AI13" s="898">
        <f t="shared" si="1"/>
        <v>0</v>
      </c>
      <c r="AJ13" s="898">
        <f t="shared" si="1"/>
        <v>0</v>
      </c>
      <c r="AK13" s="898">
        <f t="shared" si="1"/>
        <v>0</v>
      </c>
      <c r="AL13" s="898">
        <f t="shared" si="1"/>
        <v>0</v>
      </c>
      <c r="AM13" s="898">
        <f t="shared" si="1"/>
        <v>9811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484</v>
      </c>
      <c r="BD13" s="898">
        <f t="shared" si="1"/>
        <v>770</v>
      </c>
      <c r="BE13" s="898">
        <f t="shared" si="1"/>
        <v>0</v>
      </c>
      <c r="BF13" s="898">
        <f t="shared" si="1"/>
        <v>0</v>
      </c>
      <c r="BG13" s="898">
        <f>IF(ISNUMBER(Datos!K13/Datos!J13),Datos!K13/Datos!J13," - ")</f>
        <v>1.759515570934256</v>
      </c>
      <c r="BH13" s="902">
        <f>IF(ISNUMBER(((Datos!L13/Datos!K13)*11)/factor_trimestre),((Datos!L13/Datos!K13)*11)/factor_trimestre," - ")</f>
        <v>12.157817109144545</v>
      </c>
      <c r="BI13" s="898">
        <f>IF(ISNUMBER('Resol  Asuntos'!D13/NºAsuntos!G13),'Resol  Asuntos'!D13/NºAsuntos!G13," - ")</f>
        <v>0.22438572090866946</v>
      </c>
      <c r="BJ13" s="898" t="str">
        <f>IF(ISNUMBER(Datos!CI13/Datos!CJ13),Datos!CI13/Datos!CJ13," - ")</f>
        <v xml:space="preserve"> - </v>
      </c>
      <c r="BK13" s="898">
        <f>SUBTOTAL(9,BK8:BK12)</f>
        <v>0</v>
      </c>
      <c r="BL13" s="898">
        <f>IF(ISNUMBER((I13-AB13+L13)/(F13)),(I13-AB13+L13)/(F13)," - ")</f>
        <v>-0.45454545454545453</v>
      </c>
      <c r="BM13" s="903">
        <f>SUBTOTAL(9,BM9:BM12)</f>
        <v>0.24050605996172658</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7</v>
      </c>
      <c r="B16" s="593" t="s">
        <v>396</v>
      </c>
      <c r="C16" s="599" t="str">
        <f>Datos!A16</f>
        <v xml:space="preserve">Jdos. 1ª Instª. e Instr./Secc. Civil y de Inst. TI                      </v>
      </c>
      <c r="D16" s="600"/>
      <c r="E16" s="1164">
        <f>IF(ISNUMBER(Datos!AQ16),Datos!AQ16," - ")</f>
        <v>7</v>
      </c>
      <c r="F16" s="594">
        <f>IF(ISNUMBER(AF16+AB16-Datos!J16-L16),AF16+AB16-Datos!J16-L16," - ")</f>
        <v>2745</v>
      </c>
      <c r="G16" s="597">
        <f>IF(ISNUMBER(IF(D_I="SI",Datos!I16,Datos!I16+Datos!AC16)),IF(D_I="SI",Datos!I16,Datos!I16+Datos!AC16)," - ")</f>
        <v>2743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1652</v>
      </c>
      <c r="AC16" s="225">
        <f>IF(ISNUMBER(Datos!Q16),Datos!Q16," - ")</f>
        <v>84</v>
      </c>
      <c r="AD16" s="333"/>
      <c r="AE16" s="483"/>
      <c r="AF16" s="595">
        <f>IF(ISNUMBER(IF(D_I="SI",Datos!L16,Datos!L16+Datos!AF16)),IF(D_I="SI",Datos!L16,Datos!L16+Datos!AF16)," - ")</f>
        <v>2654</v>
      </c>
      <c r="AG16" s="333"/>
      <c r="AH16" s="333"/>
      <c r="AI16" s="333"/>
      <c r="AJ16" s="333"/>
      <c r="AK16" s="333"/>
      <c r="AL16" s="478"/>
      <c r="AM16" s="334">
        <f>IF(ISNUMBER(Datos!R16),Datos!R16," - ")</f>
        <v>145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158</v>
      </c>
      <c r="BD16" s="228">
        <f>IF(ISNUMBER(Datos!N16),Datos!N16," - ")</f>
        <v>1131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1.0582959641255605</v>
      </c>
      <c r="BH16" s="259">
        <f>IF(ISNUMBER(((IF(D_I="SI",Datos!L16/Datos!K16,(Datos!L16+Datos!AF16)/(Datos!K16+Datos!AE16)))*11)/factor_trimestre),((IF(D_I="SI",Datos!L16/Datos!K16,(Datos!L16+Datos!AF16)/(Datos!K16+Datos!AE16)))*11)/factor_trimestre," - ")</f>
        <v>4.8196125907990313</v>
      </c>
      <c r="BI16" s="242">
        <f>IF(ISNUMBER('Resol  Asuntos'!D16/NºAsuntos!G16),'Resol  Asuntos'!D16/NºAsuntos!G16," - ")</f>
        <v>9.5641646489104115E-2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149</v>
      </c>
      <c r="AC17" s="225">
        <f>IF(ISNUMBER(Datos!Q17),Datos!Q17," - ")</f>
        <v>0</v>
      </c>
      <c r="AD17" s="333"/>
      <c r="AE17" s="483"/>
      <c r="AF17" s="331">
        <f>IF(ISNUMBER(Datos!L17),Datos!L17,"-")</f>
        <v>178</v>
      </c>
      <c r="AG17" s="333"/>
      <c r="AH17" s="333"/>
      <c r="AI17" s="333"/>
      <c r="AJ17" s="333"/>
      <c r="AK17" s="333"/>
      <c r="AL17" s="478"/>
      <c r="AM17" s="334">
        <f>IF(ISNUMBER(Datos!R17),Datos!R17," - ")</f>
        <v>23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1.5204081632653061</v>
      </c>
      <c r="BH17" s="259">
        <f>IF(ISNUMBER(((IF(D_I="SI",Datos!L17/Datos!K17,(Datos!L17+Datos!AF17)/(Datos!K17+Datos!AE17)))*11)/factor_trimestre),((IF(D_I="SI",Datos!L17/Datos!K17,(Datos!L17+Datos!AF17)/(Datos!K17+Datos!AE17)))*11)/factor_trimestre," - ")</f>
        <v>3.5838926174496648</v>
      </c>
      <c r="BI17" s="242">
        <f>IF(ISNUMBER('Resol  Asuntos'!D17/NºAsuntos!G17),'Resol  Asuntos'!D17/NºAsuntos!G17," - ")</f>
        <v>0.12080536912751678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8</v>
      </c>
      <c r="F18" s="897">
        <f>SUBTOTAL(9,F15:F17)</f>
        <v>2745</v>
      </c>
      <c r="G18" s="897">
        <f>SUBTOTAL(9,G15:G17)</f>
        <v>2972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1801</v>
      </c>
      <c r="AC18" s="898">
        <f t="shared" si="4"/>
        <v>84</v>
      </c>
      <c r="AD18" s="898">
        <f t="shared" si="4"/>
        <v>0</v>
      </c>
      <c r="AE18" s="898">
        <f t="shared" si="4"/>
        <v>0</v>
      </c>
      <c r="AF18" s="898">
        <f t="shared" si="4"/>
        <v>2832</v>
      </c>
      <c r="AG18" s="898">
        <f t="shared" si="4"/>
        <v>0</v>
      </c>
      <c r="AH18" s="898">
        <f t="shared" si="4"/>
        <v>0</v>
      </c>
      <c r="AI18" s="898">
        <f t="shared" si="4"/>
        <v>0</v>
      </c>
      <c r="AJ18" s="898">
        <f t="shared" si="4"/>
        <v>0</v>
      </c>
      <c r="AK18" s="898">
        <f t="shared" si="4"/>
        <v>0</v>
      </c>
      <c r="AL18" s="898">
        <f t="shared" si="4"/>
        <v>0</v>
      </c>
      <c r="AM18" s="898">
        <f t="shared" si="4"/>
        <v>168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176</v>
      </c>
      <c r="BD18" s="898">
        <f t="shared" si="4"/>
        <v>1178</v>
      </c>
      <c r="BE18" s="898">
        <f t="shared" si="4"/>
        <v>0</v>
      </c>
      <c r="BF18" s="898">
        <f t="shared" si="4"/>
        <v>0</v>
      </c>
      <c r="BG18" s="898">
        <f>IF(ISNUMBER(Datos!K18/Datos!J18),Datos!K18/Datos!J18," - ")</f>
        <v>1.0855937311633514</v>
      </c>
      <c r="BH18" s="902">
        <f>IF(ISNUMBER(((Datos!L18/Datos!K18)*11)/factor_trimestre),((Datos!L18/Datos!K18)*11)/factor_trimestre," - ")</f>
        <v>4.717379233759023</v>
      </c>
      <c r="BI18" s="898">
        <f>SUBTOTAL(9,BI15:BI17)</f>
        <v>0.21644701561662089</v>
      </c>
      <c r="BJ18" s="898">
        <f>SUBTOTAL(9,BJ15:BJ17)</f>
        <v>0</v>
      </c>
      <c r="BK18" s="898">
        <f>SUBTOTAL(9,BK15:BK17)</f>
        <v>0</v>
      </c>
      <c r="BL18" s="898">
        <f>IF(ISNUMBER((I18-AB18+L18)/(F18)),(I18-AB18+L18)/(F18)," - ")</f>
        <v>-0.65610200364298721</v>
      </c>
      <c r="BM18" s="904">
        <f>IF(ISNUMBER((Datos!P18-Datos!Q18)/(Datos!R18-Datos!P18+Datos!Q18)),(Datos!P18-Datos!Q18)/(Datos!R18-Datos!P18+Datos!Q18)," - ")</f>
        <v>-0.28813559322033899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16</v>
      </c>
      <c r="F19" s="819">
        <f t="shared" si="6"/>
        <v>2800</v>
      </c>
      <c r="G19" s="819">
        <f t="shared" si="6"/>
        <v>3027</v>
      </c>
      <c r="H19" s="821">
        <f t="shared" si="6"/>
        <v>0</v>
      </c>
      <c r="I19" s="819">
        <f t="shared" si="6"/>
        <v>0</v>
      </c>
      <c r="J19" s="821">
        <f t="shared" si="6"/>
        <v>0</v>
      </c>
      <c r="K19" s="821">
        <f t="shared" si="6"/>
        <v>0</v>
      </c>
      <c r="L19" s="880">
        <f t="shared" si="6"/>
        <v>0</v>
      </c>
      <c r="M19" s="880">
        <f t="shared" si="6"/>
        <v>0</v>
      </c>
      <c r="N19" s="880">
        <f t="shared" si="6"/>
        <v>117</v>
      </c>
      <c r="O19" s="880">
        <f t="shared" si="6"/>
        <v>0</v>
      </c>
      <c r="P19" s="880">
        <f t="shared" si="6"/>
        <v>0</v>
      </c>
      <c r="Q19" s="821">
        <f t="shared" si="6"/>
        <v>609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1826</v>
      </c>
      <c r="AC19" s="820">
        <f t="shared" si="7"/>
        <v>292</v>
      </c>
      <c r="AD19" s="820">
        <f t="shared" si="7"/>
        <v>0</v>
      </c>
      <c r="AE19" s="820">
        <f t="shared" si="7"/>
        <v>0</v>
      </c>
      <c r="AF19" s="827">
        <f t="shared" si="7"/>
        <v>2882</v>
      </c>
      <c r="AG19" s="827">
        <f t="shared" si="7"/>
        <v>0</v>
      </c>
      <c r="AH19" s="827">
        <f t="shared" si="7"/>
        <v>325</v>
      </c>
      <c r="AI19" s="827">
        <f t="shared" si="7"/>
        <v>0</v>
      </c>
      <c r="AJ19" s="820">
        <f t="shared" si="7"/>
        <v>0</v>
      </c>
      <c r="AK19" s="827">
        <f t="shared" si="7"/>
        <v>0</v>
      </c>
      <c r="AL19" s="827">
        <f t="shared" si="7"/>
        <v>0</v>
      </c>
      <c r="AM19" s="827">
        <f t="shared" si="7"/>
        <v>9979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660</v>
      </c>
      <c r="BD19" s="819">
        <f t="shared" si="7"/>
        <v>1948</v>
      </c>
      <c r="BE19" s="819">
        <f t="shared" si="7"/>
        <v>0</v>
      </c>
      <c r="BF19" s="829">
        <f t="shared" si="7"/>
        <v>0</v>
      </c>
      <c r="BG19" s="914">
        <f>IF(ISNUMBER(Datos!K19/Datos!J19),Datos!K19/Datos!J19," - ")</f>
        <v>1.3623445825932505</v>
      </c>
      <c r="BH19" s="914">
        <f>IF(ISNUMBER(((Datos!L19/Datos!K19)*11)/factor_trimestre),((Datos!L19/Datos!K19)*11)/factor_trimestre," - ")</f>
        <v>8.6636245110821388</v>
      </c>
      <c r="BI19" s="812">
        <f>IF(ISNUMBER(Datos!J19/Datos!I19),Datos!J19/Datos!I19," - ")</f>
        <v>0.23277929380633425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-0.65214285714285714</v>
      </c>
      <c r="BM19" s="888">
        <f>IF(ISNUMBER((Datos!P19-Datos!Q19+R19)/(Datos!R19-Datos!P19+Datos!Q19-R19)),(Datos!P19-Datos!Q19+R19)/(Datos!R19-Datos!P19+Datos!Q19-R19)," - ")</f>
        <v>3.2808942247981782E-2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1210.8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3.7785946829182113</v>
      </c>
      <c r="F21" s="550">
        <f>IF(ISNUMBER(STDEV(F8:F18)),STDEV(F8:F18),"-")</f>
        <v>1553.0722241200933</v>
      </c>
      <c r="G21" s="551">
        <f>IF(ISNUMBER(STDEV(G8:G18)),STDEV(G8:G18),"-")</f>
        <v>1507.0783655802375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912.24108655552232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214.28299045887891</v>
      </c>
      <c r="BD21" s="550"/>
      <c r="BE21" s="550">
        <f>IF(ISNUMBER(STDEV(BE8:BE18)),STDEV(BE8:BE18),"-")</f>
        <v>0</v>
      </c>
      <c r="BF21" s="555">
        <f>IF(ISNUMBER(STDEV(BF8:BF18)),STDEV(BF8:BF18),"-")</f>
        <v>0</v>
      </c>
      <c r="BG21" s="774">
        <f>IF(ISNUMBER(STDEV(BG8:BG18)),STDEV(BG8:BG18),"-")</f>
        <v>0.30746486003784335</v>
      </c>
      <c r="BH21" s="775">
        <f>IF(ISNUMBER(STDEV(BH8:BH18)),STDEV(BH8:BH18),"-")</f>
        <v>3.8426618527248402</v>
      </c>
      <c r="BI21" s="248">
        <f>IF(ISNUMBER(STDEV(BI8:BI18)),STDEV(BI8:BI18),"-")</f>
        <v>6.5664185891281451E-2</v>
      </c>
      <c r="BJ21" s="229" t="str">
        <f>IF(ISNUMBER(BL21/BM21),BL21/BM21," - ")</f>
        <v xml:space="preserve"> - </v>
      </c>
      <c r="BK21" s="574"/>
      <c r="BL21" s="558">
        <f>IF(ISNUMBER(STDEV(BL8:BL18)),STDEV(BL8:BL18),"-")</f>
        <v>0.14252200265942475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R6vFk/BveOaNqMeztZMWRBodEDQhmR9Tx9O+xSSxpcsYEcCa62B59d2Y0RkBfreDHzLEC6rOU2DSnseHImVZg==" saltValue="ah5AdgS7BUi379FW+RZe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DOS HERMANAS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55</v>
      </c>
      <c r="G10" s="224">
        <f>IF(ISNUMBER(Datos!I10),Datos!I10," - ")</f>
        <v>55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0</v>
      </c>
      <c r="AA10" s="331">
        <f>IF(ISNUMBER(Datos!L10),Datos!L10,"-")</f>
        <v>50</v>
      </c>
      <c r="AB10" s="333"/>
      <c r="AC10" s="333"/>
      <c r="AD10" s="483"/>
      <c r="AE10" s="483">
        <f>IF(ISNUMBER(Datos!R10),Datos!R10," - ")</f>
        <v>24</v>
      </c>
      <c r="AF10" s="228" t="str">
        <f>IF(ISNUMBER(Datos!BV10),Datos!BV10," - ")</f>
        <v xml:space="preserve"> - </v>
      </c>
      <c r="AG10" s="224" t="str">
        <f>IF(ISNUMBER(Datos!DV10),Datos!DV10," - ")</f>
        <v xml:space="preserve"> - </v>
      </c>
      <c r="AH10" s="297"/>
      <c r="AI10" s="226"/>
      <c r="AJ10" s="224">
        <f>IF(ISNUMBER(Datos!M10),Datos!M10," - ")</f>
        <v>5</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7</v>
      </c>
      <c r="B12" s="506" t="s">
        <v>246</v>
      </c>
      <c r="C12" s="7" t="str">
        <f>Datos!A12</f>
        <v xml:space="preserve">Jdos. 1ª Instª. e Instr./Secc. Civil y de Inst. TI                      </v>
      </c>
      <c r="D12" s="507"/>
      <c r="E12" s="1167">
        <f>IF(ISNUMBER(Datos!AQ12),Datos!AQ12," - ")</f>
        <v>7</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208</v>
      </c>
      <c r="AA12" s="331" t="str">
        <f>IF(ISNUMBER(IF(J_V="SI",Datos!L12,Datos!L12+Datos!AB12)-IF(Monitorios="SI",Datos!CD12,0)),
                          IF(J_V="SI",Datos!L12,Datos!L12+Datos!AB12)-IF(Monitorios="SI",Datos!CD12,0),
                          " - ")</f>
        <v xml:space="preserve"> - </v>
      </c>
      <c r="AB12" s="333"/>
      <c r="AC12" s="333"/>
      <c r="AD12" s="483"/>
      <c r="AE12" s="483">
        <f>IF(ISNUMBER(Datos!R12),Datos!R12," - ")</f>
        <v>9787</v>
      </c>
      <c r="AF12" s="228" t="str">
        <f>IF(ISNUMBER(Datos!BV12),Datos!BV12," - ")</f>
        <v xml:space="preserve"> - </v>
      </c>
      <c r="AG12" s="224" t="str">
        <f>IF(ISNUMBER(Datos!DV12),Datos!DV12," - ")</f>
        <v xml:space="preserve"> - </v>
      </c>
      <c r="AH12" s="297"/>
      <c r="AI12" s="226"/>
      <c r="AJ12" s="224">
        <f>IF(ISNUMBER(Datos!M12),Datos!M12," - ")</f>
        <v>479</v>
      </c>
      <c r="AK12" s="228">
        <f>IF(ISNUMBER(Datos!N12),Datos!N12," - ")</f>
        <v>759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11.985928705440902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4.0506059961726557E-2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55</v>
      </c>
      <c r="G13" s="897">
        <f>SUBTOTAL(9,G8:G12)</f>
        <v>55</v>
      </c>
      <c r="H13" s="907"/>
      <c r="I13" s="897">
        <f t="shared" ref="I13:N13" si="0">SUBTOTAL(9,I8:I12)</f>
        <v>0</v>
      </c>
      <c r="J13" s="866">
        <f t="shared" si="0"/>
        <v>0</v>
      </c>
      <c r="K13" s="907">
        <f t="shared" si="0"/>
        <v>0</v>
      </c>
      <c r="L13" s="907">
        <f t="shared" si="0"/>
        <v>0</v>
      </c>
      <c r="M13" s="907">
        <f t="shared" si="0"/>
        <v>0</v>
      </c>
      <c r="N13" s="907">
        <f t="shared" si="0"/>
        <v>593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208</v>
      </c>
      <c r="AA13" s="899">
        <f t="shared" si="2"/>
        <v>50</v>
      </c>
      <c r="AB13" s="899">
        <f t="shared" si="2"/>
        <v>0</v>
      </c>
      <c r="AC13" s="899">
        <f t="shared" si="2"/>
        <v>0</v>
      </c>
      <c r="AD13" s="899">
        <f t="shared" si="2"/>
        <v>0</v>
      </c>
      <c r="AE13" s="899">
        <f t="shared" si="2"/>
        <v>9811</v>
      </c>
      <c r="AF13" s="907">
        <f t="shared" si="2"/>
        <v>0</v>
      </c>
      <c r="AG13" s="907">
        <f t="shared" si="2"/>
        <v>0</v>
      </c>
      <c r="AH13" s="907">
        <f t="shared" si="2"/>
        <v>0</v>
      </c>
      <c r="AI13" s="907">
        <f t="shared" si="2"/>
        <v>0</v>
      </c>
      <c r="AJ13" s="907">
        <f t="shared" si="2"/>
        <v>484</v>
      </c>
      <c r="AK13" s="907">
        <f t="shared" si="2"/>
        <v>770</v>
      </c>
      <c r="AL13" s="907">
        <f t="shared" si="2"/>
        <v>0</v>
      </c>
      <c r="AM13" s="907">
        <f t="shared" si="2"/>
        <v>0</v>
      </c>
      <c r="AN13" s="907">
        <f t="shared" si="2"/>
        <v>0</v>
      </c>
      <c r="AO13" s="903">
        <f>IF(ISNUMBER(((NºAsuntos!I13/NºAsuntos!G13)*11)/factor_trimestre),((NºAsuntos!I13/NºAsuntos!G13)*11)/factor_trimestre," - ")</f>
        <v>11.916550764951323</v>
      </c>
      <c r="AP13" s="909" t="str">
        <f>IF(ISNUMBER(Datos!CI13/Datos!CJ13),Datos!CI13/Datos!CJ13," - ")</f>
        <v xml:space="preserve"> - </v>
      </c>
      <c r="AQ13" s="927">
        <f t="shared" ref="AQ13:AV13" si="3">SUBTOTAL(9,AQ9:AQ12)</f>
        <v>0</v>
      </c>
      <c r="AR13" s="927">
        <f t="shared" si="3"/>
        <v>0.24050605996172658</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7</v>
      </c>
      <c r="B16" s="506" t="s">
        <v>396</v>
      </c>
      <c r="C16" s="159" t="str">
        <f>Datos!A16</f>
        <v xml:space="preserve">Jdos. 1ª Instª. e Instr./Secc. Civil y de Inst. TI                      </v>
      </c>
      <c r="D16" s="501"/>
      <c r="E16" s="1167">
        <f>IF(ISNUMBER(Datos!AQ16),Datos!AQ16," - ")</f>
        <v>7</v>
      </c>
      <c r="F16" s="332">
        <f>IF(ISNUMBER(AA16+Y16-Datos!J16-K15),AA16+Y16-Datos!J16-K15," - ")</f>
        <v>2745</v>
      </c>
      <c r="G16" s="224">
        <f>IF(ISNUMBER(IF(D_I="SI",Datos!I16,Datos!I16+Datos!AC16)),IF(D_I="SI",Datos!I16,Datos!I16+Datos!AC16)," - ")</f>
        <v>2743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1652</v>
      </c>
      <c r="Z16" s="618">
        <f>IF(ISNUMBER(Datos!Q16),Datos!Q16," - ")</f>
        <v>84</v>
      </c>
      <c r="AA16" s="331">
        <f>IF(ISNUMBER(IF(D_I="SI",Datos!L16,Datos!L16+Datos!AF16)),IF(D_I="SI",Datos!L16,Datos!L16+Datos!AF16)," - ")</f>
        <v>2654</v>
      </c>
      <c r="AB16" s="333"/>
      <c r="AC16" s="333"/>
      <c r="AD16" s="483"/>
      <c r="AE16" s="483">
        <f>IF(ISNUMBER(Datos!R16),Datos!R16," - ")</f>
        <v>145</v>
      </c>
      <c r="AF16" s="228" t="str">
        <f>IF(ISNUMBER(Datos!BV16),Datos!BV16," - ")</f>
        <v xml:space="preserve"> - </v>
      </c>
      <c r="AG16" s="224"/>
      <c r="AH16" s="297"/>
      <c r="AI16" s="226"/>
      <c r="AJ16" s="224">
        <f>IF(ISNUMBER(Datos!M16),Datos!M16," - ")</f>
        <v>158</v>
      </c>
      <c r="AK16" s="228">
        <f>IF(ISNUMBER(Datos!N16),Datos!N16," - ")</f>
        <v>1131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4.8196125907990313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149</v>
      </c>
      <c r="Z17" s="618">
        <f>IF(ISNUMBER(Datos!Q17),Datos!Q17," - ")</f>
        <v>0</v>
      </c>
      <c r="AA17" s="331">
        <f>IF(ISNUMBER(Datos!L17),Datos!L17,"-")</f>
        <v>178</v>
      </c>
      <c r="AB17" s="333"/>
      <c r="AC17" s="333"/>
      <c r="AD17" s="483"/>
      <c r="AE17" s="483">
        <f>IF(ISNUMBER(Datos!R17),Datos!R17," - ")</f>
        <v>23</v>
      </c>
      <c r="AF17" s="228" t="str">
        <f>IF(ISNUMBER(Datos!BV17),Datos!BV17," - ")</f>
        <v xml:space="preserve"> - </v>
      </c>
      <c r="AG17" s="224" t="str">
        <f>IF(ISNUMBER(Datos!DV17),Datos!DV17," - ")</f>
        <v xml:space="preserve"> - </v>
      </c>
      <c r="AH17" s="297"/>
      <c r="AI17" s="226"/>
      <c r="AJ17" s="224">
        <f>IF(ISNUMBER(Datos!M17),Datos!M17," - ")</f>
        <v>18</v>
      </c>
      <c r="AK17" s="228">
        <f>IF(ISNUMBER(Datos!N17),Datos!N17," - ")</f>
        <v>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3.5838926174496648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8</v>
      </c>
      <c r="F18" s="897">
        <f>SUBTOTAL(9,F15:F17)</f>
        <v>2745</v>
      </c>
      <c r="G18" s="897">
        <f>SUBTOTAL(9,G15:G17)</f>
        <v>2972</v>
      </c>
      <c r="H18" s="931">
        <f>SUBTOTAL(9,H15:H17)</f>
        <v>0</v>
      </c>
      <c r="I18" s="910">
        <f>SUBTOTAL(9,I15:I17)</f>
        <v>0</v>
      </c>
      <c r="J18" s="866">
        <f>SUBTOTAL(9,J14:J17)</f>
        <v>0</v>
      </c>
      <c r="K18" s="931">
        <f t="shared" ref="K18:S18" si="4">SUBTOTAL(9,K15:K17)</f>
        <v>0</v>
      </c>
      <c r="L18" s="931">
        <f t="shared" si="4"/>
        <v>0</v>
      </c>
      <c r="M18" s="931">
        <f t="shared" si="4"/>
        <v>0</v>
      </c>
      <c r="N18" s="931">
        <f t="shared" si="4"/>
        <v>16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1801</v>
      </c>
      <c r="Z18" s="931">
        <f t="shared" si="5"/>
        <v>84</v>
      </c>
      <c r="AA18" s="931">
        <f t="shared" si="5"/>
        <v>2832</v>
      </c>
      <c r="AB18" s="931">
        <f t="shared" si="5"/>
        <v>0</v>
      </c>
      <c r="AC18" s="931">
        <f t="shared" si="5"/>
        <v>0</v>
      </c>
      <c r="AD18" s="931">
        <f t="shared" si="5"/>
        <v>0</v>
      </c>
      <c r="AE18" s="931">
        <f t="shared" si="5"/>
        <v>168</v>
      </c>
      <c r="AF18" s="931">
        <f t="shared" si="5"/>
        <v>0</v>
      </c>
      <c r="AG18" s="931">
        <f t="shared" si="5"/>
        <v>0</v>
      </c>
      <c r="AH18" s="931">
        <f t="shared" si="5"/>
        <v>0</v>
      </c>
      <c r="AI18" s="931">
        <f t="shared" si="5"/>
        <v>0</v>
      </c>
      <c r="AJ18" s="931">
        <f t="shared" si="5"/>
        <v>176</v>
      </c>
      <c r="AK18" s="931">
        <f t="shared" si="5"/>
        <v>1178</v>
      </c>
      <c r="AL18" s="931">
        <f t="shared" si="5"/>
        <v>0</v>
      </c>
      <c r="AM18" s="931">
        <f t="shared" si="5"/>
        <v>0</v>
      </c>
      <c r="AN18" s="931">
        <f t="shared" si="5"/>
        <v>0</v>
      </c>
      <c r="AO18" s="933">
        <f>IF(ISNUMBER(((NºAsuntos!I18/NºAsuntos!G18)*11)/factor_trimestre),((NºAsuntos!I18/NºAsuntos!G18)*11)/factor_trimestre," - ")</f>
        <v>4.717379233759023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2800</v>
      </c>
      <c r="G19" s="819">
        <f t="shared" si="7"/>
        <v>3027</v>
      </c>
      <c r="H19" s="820">
        <f t="shared" si="7"/>
        <v>0</v>
      </c>
      <c r="I19" s="819">
        <f t="shared" si="7"/>
        <v>0</v>
      </c>
      <c r="J19" s="821">
        <f t="shared" si="7"/>
        <v>0</v>
      </c>
      <c r="K19" s="819">
        <f t="shared" si="7"/>
        <v>0</v>
      </c>
      <c r="L19" s="822">
        <f t="shared" si="7"/>
        <v>0</v>
      </c>
      <c r="M19" s="819">
        <f t="shared" si="7"/>
        <v>0</v>
      </c>
      <c r="N19" s="820">
        <f t="shared" si="7"/>
        <v>609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1826</v>
      </c>
      <c r="Z19" s="826">
        <f t="shared" si="8"/>
        <v>292</v>
      </c>
      <c r="AA19" s="827">
        <f t="shared" si="8"/>
        <v>2882</v>
      </c>
      <c r="AB19" s="827">
        <f t="shared" si="8"/>
        <v>0</v>
      </c>
      <c r="AC19" s="827">
        <f t="shared" si="8"/>
        <v>0</v>
      </c>
      <c r="AD19" s="828">
        <f t="shared" si="8"/>
        <v>0</v>
      </c>
      <c r="AE19" s="828">
        <f t="shared" si="8"/>
        <v>9979</v>
      </c>
      <c r="AF19" s="829">
        <f t="shared" si="8"/>
        <v>0</v>
      </c>
      <c r="AG19" s="830">
        <f t="shared" si="8"/>
        <v>0</v>
      </c>
      <c r="AH19" s="831">
        <f t="shared" si="8"/>
        <v>0</v>
      </c>
      <c r="AI19" s="829">
        <f t="shared" si="8"/>
        <v>0</v>
      </c>
      <c r="AJ19" s="819">
        <f t="shared" si="8"/>
        <v>660</v>
      </c>
      <c r="AK19" s="819">
        <f t="shared" si="8"/>
        <v>1948</v>
      </c>
      <c r="AL19" s="819">
        <f t="shared" si="8"/>
        <v>0</v>
      </c>
      <c r="AM19" s="832">
        <f t="shared" si="8"/>
        <v>0</v>
      </c>
      <c r="AN19" s="822">
        <f>IF(ISNUMBER(Datos!K19/Datos!J19),Datos!K19/Datos!J19," - ")</f>
        <v>1.3623445825932505</v>
      </c>
      <c r="AO19" s="822">
        <f>IF(ISNUMBER(FIND("06",Criterios!A8,1)),(IF(ISNUMBER(((Datos!R19/Datos!Q19)*11)/factor_trimestre),((Datos!R19/Datos!Q19)*11)/factor_trimestre," - ")),(IF(ISNUMBER(((Datos!L19/Datos!K19)*11)/factor_trimestre),((Datos!L19/Datos!K19)*11)/factor_trimestre," - ")))</f>
        <v>8.6636245110821388</v>
      </c>
      <c r="AP19" s="833" t="str">
        <f>IF(ISNUMBER(Datos!CI19/Datos!CJ19),Datos!CI19/Datos!CJ19," - ")</f>
        <v xml:space="preserve"> - </v>
      </c>
      <c r="AQ19" s="833">
        <f>IF(OR(ISNUMBER(FIND("01",Criterios!A8,1)),ISNUMBER(FIND("02",Criterios!A8,1)),ISNUMBER(FIND("03",Criterios!A8,1)),ISNUMBER(FIND("04",Criterios!A8,1))),(J19-Y19+K19)/(F19-K19),(I19-Y19+K19)/(F19-K19))</f>
        <v>-0.65214285714285714</v>
      </c>
      <c r="AR19" s="833">
        <f>IF(ISNUMBER((Datos!P19-Datos!Q19+O19)/(Datos!R19-Datos!P19+Datos!Q19-O19)),(Datos!P19-Datos!Q19+O19)/(Datos!R19-Datos!P19+Datos!Q19-O19)," - ")</f>
        <v>3.2808942247981782E-2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1210.8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1553.0722241200933</v>
      </c>
      <c r="G21" s="551">
        <f>IF(ISNUMBER(STDEV(G8:G18)),STDEV(G8:G18),"-")</f>
        <v>1507.0783655802375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214.28299045887891</v>
      </c>
      <c r="AK21" s="251"/>
      <c r="AL21" s="251">
        <f>IF(ISNUMBER(STDEV(AL8:AL18)),STDEV(AL8:AL18),"-")</f>
        <v>0</v>
      </c>
      <c r="AM21" s="253">
        <f>IF(ISNUMBER(STDEV(AM8:AM18)),STDEV(AM8:AM18),"-")</f>
        <v>0</v>
      </c>
      <c r="AN21" s="538">
        <f>IF(ISNUMBER(STDEV(AN8:AN18)),STDEV(AN8:AN18),"-")</f>
        <v>0</v>
      </c>
      <c r="AO21" s="539">
        <f>IF(ISNUMBER(STDEV(AO8:AO18)),STDEV(AO8:AO18),"-")</f>
        <v>3.7813131933145714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ivQkMpphSiXNy0supdTsh7GiQVJajR6gZ9bojswKczMJVmGJF4fjdGM62wAWjlGgWyWIh2JY8Uj7pNuv+hh/A==" saltValue="fypyO0PJkjEr6kr4IGKT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5eAhzEjVyPB+9dZX4b3Mcdjcj9tl0AlRlqaT8Gt8/BUT0Ov9WqkKM7Z2MJOuUISGDDvNQQ474+/M+B2LS5yfw==" saltValue="hLZWbznQS7KJOcN2QdY9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ZEVjAtJqwZ226F41ud97Yv/uWTOKVZiqK/oDlQSjx3ZRT6HmrQ3sPTixeT61+e+F//L4jAVZWN8yLK0LecJmQ==" saltValue="r6G6pDsNd2zlOoNl4h+7F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DOS HERMANAS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0.22438572090866946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0.15866466485595224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9bjRqxnQCBgCnjPADnkW555vQ25KOxxDZmDuZ2w8GKZWhpIC2yF04Qm8Tahay3rgxICUdnBIrD2rZ7ySPD5dQ==" saltValue="IMlQGclZwtAnhJg5LbdPY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QM7A7jLNhJt3Pix4WzVxrly8ZHBqa9IxUKD5zY0HC8z3aI+nGkleu8aaTNYUvV5ak7Y7lWhKz/EvouwCpONQ==" saltValue="2kljTiXozRmOJFH8zTnd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DOS HERMANAS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55</v>
      </c>
      <c r="D10" s="403">
        <f>IF(ISNUMBER(C10/Datos!BH10),C10/Datos!BH10," - ")</f>
        <v>27.5</v>
      </c>
      <c r="E10" s="402">
        <f>IF(ISNUMBER(Datos!J10),Datos!J10," - ")</f>
        <v>20</v>
      </c>
      <c r="F10" s="403">
        <f>IF(ISNUMBER(E10/B10),E10/B10," - ")</f>
        <v>10</v>
      </c>
      <c r="G10" s="402">
        <f>IF(ISNUMBER(Datos!K10),Datos!K10," - ")</f>
        <v>25</v>
      </c>
      <c r="H10" s="403">
        <f>IF(ISNUMBER(G10/B10),G10/B10," - ")</f>
        <v>12.5</v>
      </c>
      <c r="I10" s="402">
        <f>IF(ISNUMBER(Datos!L10),Datos!L10," - ")</f>
        <v>50</v>
      </c>
      <c r="J10" s="403">
        <f>IF(ISNUMBER(I10/B10),I10/B10," - ")</f>
        <v>25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7</v>
      </c>
      <c r="C12" s="402">
        <f>IF(ISNUMBER(IF(J_V="SI",Datos!I12,Datos!I12+Datos!Y12)),IF(J_V="SI",Datos!I12,Datos!I12+Datos!Y12)," - ")</f>
        <v>9397</v>
      </c>
      <c r="D12" s="403">
        <f>IF(ISNUMBER(C12/Datos!BH12),C12/Datos!BH12," - ")</f>
        <v>1342.4285714285713</v>
      </c>
      <c r="E12" s="402">
        <f>IF(ISNUMBER(IF(J_V="SI",Datos!J12,Datos!J12+Datos!Z12)),IF(J_V="SI",Datos!J12,Datos!J12+Datos!Z12)," - ")</f>
        <v>1253</v>
      </c>
      <c r="F12" s="403">
        <f>IF(ISNUMBER(E12/B12),E12/B12," - ")</f>
        <v>179</v>
      </c>
      <c r="G12" s="402">
        <f>IF(ISNUMBER(IF(J_V="SI",Datos!K12,Datos!K12+Datos!AA12)),IF(J_V="SI",Datos!K12,Datos!K12+Datos!AA12)," - ")</f>
        <v>2132</v>
      </c>
      <c r="H12" s="403">
        <f>IF(ISNUMBER(G12/B12),G12/B12," - ")</f>
        <v>304.57142857142856</v>
      </c>
      <c r="I12" s="402">
        <f>IF(ISNUMBER(IF(J_V="SI",Datos!L12,Datos!L12+Datos!AB12)),IF(J_V="SI",Datos!L12,Datos!L12+Datos!AB12)," - ")</f>
        <v>8518</v>
      </c>
      <c r="J12" s="403">
        <f>IF(ISNUMBER(I12/B12),I12/B12," - ")</f>
        <v>1216.8571428571429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9452</v>
      </c>
      <c r="D13" s="849" t="str">
        <f>IF(ISNUMBER(C13/Datos!BI13),C13/Datos!BI13," - ")</f>
        <v xml:space="preserve"> - </v>
      </c>
      <c r="E13" s="848">
        <f>SUBTOTAL(9,E8:E12)</f>
        <v>1273</v>
      </c>
      <c r="F13" s="849">
        <f>IF(ISNUMBER(E13/B13),E13/B13," - ")</f>
        <v>159.125</v>
      </c>
      <c r="G13" s="848">
        <f>SUBTOTAL(9,G8:G12)</f>
        <v>2157</v>
      </c>
      <c r="H13" s="849">
        <f>IF(ISNUMBER(G13/B13),G13/B13," - ")</f>
        <v>269.625</v>
      </c>
      <c r="I13" s="848">
        <f>SUBTOTAL(9,I8:I12)</f>
        <v>8568</v>
      </c>
      <c r="J13" s="849">
        <f>IF(ISNUMBER(I13/B13),I13/B13," - ")</f>
        <v>1071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7</v>
      </c>
      <c r="C16" s="402">
        <f>IF(ISNUMBER(IF(D_I="SI",Datos!I16,Datos!I16+Datos!AC16)),IF(D_I="SI",Datos!I16,Datos!I16+Datos!AC16)," - ")</f>
        <v>2743</v>
      </c>
      <c r="D16" s="403">
        <f>IF(ISNUMBER(C16/Datos!BH16),C16/Datos!BH16," - ")</f>
        <v>391.85714285714283</v>
      </c>
      <c r="E16" s="402">
        <f>IF(ISNUMBER(IF(D_I="SI",Datos!J16,Datos!J16+Datos!AD16)),IF(D_I="SI",Datos!J16,Datos!J16+Datos!AD16)," - ")</f>
        <v>1561</v>
      </c>
      <c r="F16" s="403">
        <f>IF(ISNUMBER(E16/B16),E16/B16," - ")</f>
        <v>223</v>
      </c>
      <c r="G16" s="402">
        <f>IF(ISNUMBER(IF(D_I="SI",Datos!K16,Datos!K16+Datos!AE16)),IF(D_I="SI",Datos!K16,Datos!K16+Datos!AE16)," - ")</f>
        <v>1652</v>
      </c>
      <c r="H16" s="403">
        <f>IF(ISNUMBER(G16/B16),G16/B16," - ")</f>
        <v>236</v>
      </c>
      <c r="I16" s="402">
        <f>IF(ISNUMBER(IF(D_I="SI",Datos!L16,Datos!L16+Datos!AF16)),IF(D_I="SI",Datos!L16,Datos!L16+Datos!AF16)," - ")</f>
        <v>2654</v>
      </c>
      <c r="J16" s="403">
        <f>IF(ISNUMBER(I16/B16),I16/B16," - ")</f>
        <v>379.14285714285717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229</v>
      </c>
      <c r="D17" s="403">
        <f>IF(ISNUMBER(C17/Datos!BH17),C17/Datos!BH17," - ")</f>
        <v>114.5</v>
      </c>
      <c r="E17" s="402">
        <f>IF(ISNUMBER(IF(D_I="SI",Datos!J17,Datos!J17+Datos!AD17)),IF(D_I="SI",Datos!J17,Datos!J17+Datos!AD17)," - ")</f>
        <v>98</v>
      </c>
      <c r="F17" s="403">
        <f>IF(ISNUMBER(E17/B17),E17/B17," - ")</f>
        <v>49</v>
      </c>
      <c r="G17" s="402">
        <f>IF(ISNUMBER(IF(D_I="SI",Datos!K17,Datos!K17+Datos!AE17)),IF(D_I="SI",Datos!K17,Datos!K17+Datos!AE17)," - ")</f>
        <v>149</v>
      </c>
      <c r="H17" s="403">
        <f>IF(ISNUMBER(G17/B17),G17/B17," - ")</f>
        <v>74.5</v>
      </c>
      <c r="I17" s="402">
        <f>IF(ISNUMBER(IF(D_I="SI",Datos!L17,Datos!L17+Datos!AF17)),IF(D_I="SI",Datos!L17,Datos!L17+Datos!AF17)," - ")</f>
        <v>178</v>
      </c>
      <c r="J17" s="403">
        <f>IF(ISNUMBER(I17/B17),I17/B17," - ")</f>
        <v>89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2972</v>
      </c>
      <c r="D18" s="849" t="str">
        <f>IF(ISNUMBER(C18/Datos!BI18),C18/Datos!BI18," - ")</f>
        <v xml:space="preserve"> - </v>
      </c>
      <c r="E18" s="848">
        <f>SUBTOTAL(9,E14:E17)</f>
        <v>1659</v>
      </c>
      <c r="F18" s="849">
        <f>IF(ISNUMBER(E18/B18),E18/B18," - ")</f>
        <v>207.375</v>
      </c>
      <c r="G18" s="848">
        <f>SUBTOTAL(9,G14:G17)</f>
        <v>1801</v>
      </c>
      <c r="H18" s="849">
        <f>IF(ISNUMBER(G18/B18),G18/B18," - ")</f>
        <v>225.125</v>
      </c>
      <c r="I18" s="848">
        <f>SUBTOTAL(9,I14:I17)</f>
        <v>2832</v>
      </c>
      <c r="J18" s="849">
        <f>IF(ISNUMBER(I18/B18),I18/B18," - ")</f>
        <v>354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12424</v>
      </c>
      <c r="D19" s="794" t="str">
        <f>IF(ISNUMBER(C19/Datos!BI19),C19/Datos!BI19," - ")</f>
        <v xml:space="preserve"> - </v>
      </c>
      <c r="E19" s="793">
        <f>SUBTOTAL(9,E9:E18)</f>
        <v>2932</v>
      </c>
      <c r="F19" s="794">
        <f>IF(ISNUMBER(E19/B19),E19/B19," - ")</f>
        <v>366.5</v>
      </c>
      <c r="G19" s="793">
        <f>SUBTOTAL(9,G9:G18)</f>
        <v>3958</v>
      </c>
      <c r="H19" s="794">
        <f>IF(ISNUMBER(G19/B19),G19/B19," - ")</f>
        <v>494.75</v>
      </c>
      <c r="I19" s="793">
        <f>SUBTOTAL(9,I9:I18)</f>
        <v>11400</v>
      </c>
      <c r="J19" s="794">
        <f>IF(ISNUMBER(I19/B19),I19/B19," - ")</f>
        <v>1425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hqrcXIivSnrfs1xESdB/a1fztL+UL/dlFY9hQWUdRiCrJa6WuhC1ICl2YVX50wrI8dTU3ieKhyYz5aQvmOS14g==" saltValue="M+TvVIWrxS+ggTse8OLJK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DOS HERMANAS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55</v>
      </c>
      <c r="G10" s="683">
        <f>IF(ISNUMBER(Datos!I10),Datos!I10," - ")</f>
        <v>55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50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7</v>
      </c>
      <c r="B12" s="506" t="s">
        <v>246</v>
      </c>
      <c r="C12" s="7" t="str">
        <f>Datos!A12</f>
        <v xml:space="preserve">Jdos. 1ª Instª. e Instr./Secc. Civil y de Inst. TI                      </v>
      </c>
      <c r="D12" s="507"/>
      <c r="E12" s="681">
        <f>IF(ISNUMBER(Datos!AQ12),Datos!AQ12," - ")</f>
        <v>7</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9787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479</v>
      </c>
      <c r="AM12" s="689">
        <f>IF(ISNUMBER(Datos!N12+DatosP!N16),Datos!N12+DatosP!N16," - ")</f>
        <v>759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11.985928705440902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4.0506059961726557E-2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55</v>
      </c>
      <c r="G13" s="937">
        <f t="shared" si="0"/>
        <v>55</v>
      </c>
      <c r="H13" s="937">
        <f t="shared" si="0"/>
        <v>0</v>
      </c>
      <c r="I13" s="939">
        <f t="shared" si="0"/>
        <v>0</v>
      </c>
      <c r="J13" s="938">
        <f t="shared" si="0"/>
        <v>0</v>
      </c>
      <c r="K13" s="938">
        <f t="shared" si="0"/>
        <v>0</v>
      </c>
      <c r="L13" s="940">
        <f t="shared" si="0"/>
        <v>0</v>
      </c>
      <c r="M13" s="940">
        <f t="shared" si="0"/>
        <v>0</v>
      </c>
      <c r="N13" s="938">
        <f t="shared" si="0"/>
        <v>593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208</v>
      </c>
      <c r="AE13" s="938">
        <f t="shared" si="1"/>
        <v>0</v>
      </c>
      <c r="AF13" s="938">
        <f t="shared" si="1"/>
        <v>50</v>
      </c>
      <c r="AG13" s="938">
        <f t="shared" si="1"/>
        <v>0</v>
      </c>
      <c r="AH13" s="938">
        <f t="shared" si="1"/>
        <v>9787</v>
      </c>
      <c r="AI13" s="938">
        <f t="shared" si="1"/>
        <v>0</v>
      </c>
      <c r="AJ13" s="938">
        <f t="shared" si="1"/>
        <v>0</v>
      </c>
      <c r="AK13" s="938">
        <f t="shared" si="1"/>
        <v>0</v>
      </c>
      <c r="AL13" s="938">
        <f t="shared" si="1"/>
        <v>484</v>
      </c>
      <c r="AM13" s="938">
        <f t="shared" si="1"/>
        <v>770</v>
      </c>
      <c r="AN13" s="938">
        <f t="shared" si="1"/>
        <v>0</v>
      </c>
      <c r="AO13" s="938">
        <f t="shared" si="1"/>
        <v>0</v>
      </c>
      <c r="AP13" s="943">
        <f>IF(ISNUMBER(((Datos!L13/Datos!K13)*11)/factor_trimestre),((Datos!L13/Datos!K13)*11)/factor_trimestre," - ")</f>
        <v>12.157817109144545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-0.45454545454545453</v>
      </c>
      <c r="AU13" s="938" t="str">
        <f>IF(ISNUMBER((DatosP!#REF!-DatosP!#REF!+DatosP!#REF!)/(DatosP!#REF!+DatosP!#REF!-DatosP!#REF!-DatosP!#REF!)),(DatosP!#REF!-DatosP!#REF!+DatosP!#REF!)/(DatosP!#REF!+DatosP!#REF!-DatosP!#REF!-DatosP!#REF!)," - ")</f>
        <v xml:space="preserve"> - </v>
      </c>
      <c r="AV13" s="944">
        <f>SUBTOTAL(9,AV9:AV12)</f>
        <v>4.0506059961726557E-2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7</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4.717379233759023</v>
      </c>
      <c r="AQ18" s="943">
        <f>IF(ISNUMBER(((Datos!M18/Datos!L18)*11)/factor_trimestre),((Datos!M18/Datos!L18)*11)/factor_trimestre," - ")</f>
        <v>0.1864406779661017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-0.28813559322033899</v>
      </c>
      <c r="AW18" s="945">
        <f>IF(ISNUMBER((Datos!Q18-Datos!R18)/(Datos!S18-Datos!Q18+Datos!R18)),(Datos!Q18-Datos!R18)/(Datos!S18-Datos!Q18+Datos!R18)," - ")</f>
        <v>-3.0803080308030802E-2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55</v>
      </c>
      <c r="G19" s="950">
        <f t="shared" si="4"/>
        <v>55</v>
      </c>
      <c r="H19" s="950">
        <f t="shared" si="4"/>
        <v>0</v>
      </c>
      <c r="I19" s="951">
        <f t="shared" si="4"/>
        <v>0</v>
      </c>
      <c r="J19" s="952">
        <f t="shared" si="4"/>
        <v>0</v>
      </c>
      <c r="K19" s="952">
        <f t="shared" si="4"/>
        <v>0</v>
      </c>
      <c r="L19" s="952">
        <f t="shared" si="4"/>
        <v>0</v>
      </c>
      <c r="M19" s="952">
        <f t="shared" si="4"/>
        <v>0</v>
      </c>
      <c r="N19" s="951">
        <f t="shared" si="4"/>
        <v>593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208</v>
      </c>
      <c r="AE19" s="956">
        <f t="shared" si="5"/>
        <v>0</v>
      </c>
      <c r="AF19" s="957">
        <f t="shared" si="5"/>
        <v>50</v>
      </c>
      <c r="AG19" s="957">
        <f t="shared" si="5"/>
        <v>0</v>
      </c>
      <c r="AH19" s="957">
        <f t="shared" si="5"/>
        <v>9787</v>
      </c>
      <c r="AI19" s="957">
        <f t="shared" si="5"/>
        <v>0</v>
      </c>
      <c r="AJ19" s="958">
        <f t="shared" si="5"/>
        <v>0</v>
      </c>
      <c r="AK19" s="958">
        <f t="shared" si="5"/>
        <v>0</v>
      </c>
      <c r="AL19" s="950">
        <f t="shared" si="5"/>
        <v>484</v>
      </c>
      <c r="AM19" s="950">
        <f t="shared" si="5"/>
        <v>770</v>
      </c>
      <c r="AN19" s="950">
        <f t="shared" si="5"/>
        <v>0</v>
      </c>
      <c r="AO19" s="950">
        <f t="shared" si="5"/>
        <v>0</v>
      </c>
      <c r="AP19" s="950">
        <f>IF(ISNUMBER(((Datos!L19/Datos!K19)*11)/factor_trimestre),((Datos!L19/Datos!K19)*11)/factor_trimestre," - ")</f>
        <v>8.6636245110821388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-0.45454545454545453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3.2808942247981782E-2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36.666666666666664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3.7771241264574122</v>
      </c>
      <c r="F21" s="735">
        <f>IF(ISNUMBER(STDEV(F8:F18)),STDEV(F8:F18),"-")</f>
        <v>31.754264805429415</v>
      </c>
      <c r="G21" s="736">
        <f>IF(ISNUMBER(STDEV(G8:G18)),STDEV(G8:G18),"-")</f>
        <v>31.754264805429415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276.56584508334839</v>
      </c>
      <c r="AM21" s="735"/>
      <c r="AN21" s="735">
        <f>IF(ISNUMBER(STDEV(AN8:AN18)),STDEV(AN8:AN18),"-")</f>
        <v>0</v>
      </c>
      <c r="AO21" s="741">
        <f>IF(ISNUMBER(STDEV(AO8:AO18)),STDEV(AO8:AO18),"-")</f>
        <v>0</v>
      </c>
      <c r="AP21" s="778">
        <f>IF(ISNUMBER(STDEV(AP8:AP18)),STDEV(AP8:AP18),"-")</f>
        <v>3.9116987238003289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FZTmpIMTNGbOKq4bUWz6LlCO9DdkKxIIC0MnC3C07Xhwsz91ttpkgk9ETEbZntQe9xIdMLdAdwYw4WKNdc08g==" saltValue="HpDjRNZDVEXsy1kSyRWj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DOS HERMANAS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7</v>
      </c>
      <c r="D12" s="402">
        <f>Datos!BK12</f>
        <v>0</v>
      </c>
      <c r="E12" s="402">
        <f>Datos!AQ12</f>
        <v>7</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7</v>
      </c>
      <c r="D16" s="402">
        <f>Datos!BK16</f>
        <v>0</v>
      </c>
      <c r="E16" s="402">
        <f>Datos!AQ16</f>
        <v>7</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aM7xcxQV0b6CxM8nLolQLIoQlS7sHmk6rQF8R+w9kMTQWYku1wWyetpP3IPsTnhK9PQlKFX/eTshb0FMGCi7zw==" saltValue="gh1JCTirs4hRZsIeiSwf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DOS HERMANAS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5</v>
      </c>
      <c r="E10" s="403">
        <f>IF(ISNUMBER(D10/B10),D10/B10," - ")</f>
        <v>2.5</v>
      </c>
      <c r="F10" s="402">
        <f>IF(ISNUMBER(Datos!N10),Datos!N10," - ")</f>
        <v>11</v>
      </c>
      <c r="G10" s="403">
        <f>IF(ISNUMBER(F10/B10),F10/B10," - ")</f>
        <v>5.5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7</v>
      </c>
      <c r="C12" s="409">
        <f>Datos!AQ12</f>
        <v>7</v>
      </c>
      <c r="D12" s="402">
        <f>IF(ISNUMBER(Datos!M12),Datos!M12," - ")</f>
        <v>479</v>
      </c>
      <c r="E12" s="403">
        <f t="shared" si="0"/>
        <v>68.428571428571431</v>
      </c>
      <c r="F12" s="402">
        <f>IF(ISNUMBER(Datos!N12),Datos!N12," - ")</f>
        <v>759</v>
      </c>
      <c r="G12" s="403">
        <f t="shared" si="1"/>
        <v>108.42857142857143</v>
      </c>
      <c r="H12" s="402">
        <f>IF(ISNUMBER(Datos!O12),Datos!O12," - ")</f>
        <v>979</v>
      </c>
      <c r="I12" s="403">
        <f t="shared" si="2"/>
        <v>139.85714285714286</v>
      </c>
      <c r="BZ12" s="1185">
        <f>Datos!EZ12</f>
        <v>0</v>
      </c>
    </row>
    <row r="13" spans="1:78" ht="14.25" thickTop="1" thickBot="1">
      <c r="A13" s="847" t="str">
        <f>Datos!A13</f>
        <v>TOTAL</v>
      </c>
      <c r="B13" s="848">
        <f>Datos!AP13</f>
        <v>8</v>
      </c>
      <c r="C13" s="850">
        <f>Datos!AR13</f>
        <v>8</v>
      </c>
      <c r="D13" s="848">
        <f>SUBTOTAL(9,D9:D12)</f>
        <v>484</v>
      </c>
      <c r="E13" s="849">
        <f t="shared" si="0"/>
        <v>60.5</v>
      </c>
      <c r="F13" s="848">
        <f>SUBTOTAL(9,F9:F12)</f>
        <v>770</v>
      </c>
      <c r="G13" s="849">
        <f t="shared" si="1"/>
        <v>96.25</v>
      </c>
      <c r="H13" s="848">
        <f>SUBTOTAL(9,H9:H12)</f>
        <v>979</v>
      </c>
      <c r="I13" s="849">
        <f>IF(ISNUMBER(H13/B13),H13/B13," - ")</f>
        <v>122.375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7</v>
      </c>
      <c r="C16" s="427">
        <f>Datos!AQ16</f>
        <v>7</v>
      </c>
      <c r="D16" s="402">
        <f>IF(ISNUMBER(Datos!M16),Datos!M16," - ")</f>
        <v>158</v>
      </c>
      <c r="E16" s="403">
        <f t="shared" si="3"/>
        <v>22.571428571428573</v>
      </c>
      <c r="F16" s="402">
        <f>IF(ISNUMBER(Datos!N16),Datos!N16," - ")</f>
        <v>1131</v>
      </c>
      <c r="G16" s="403">
        <f t="shared" si="4"/>
        <v>161.57142857142858</v>
      </c>
      <c r="H16" s="402">
        <f>IF(ISNUMBER(Datos!O16),Datos!O16," - ")</f>
        <v>22</v>
      </c>
      <c r="I16" s="403">
        <f t="shared" si="5"/>
        <v>3.1428571428571428</v>
      </c>
      <c r="BZ16" s="1185">
        <f>Datos!EZ16</f>
        <v>0</v>
      </c>
    </row>
    <row r="17" spans="1:78" ht="13.5" thickBot="1">
      <c r="A17" s="401" t="str">
        <f>Datos!A17</f>
        <v>Jdos. Violencia contra la mujer/Secc Viol. TI.</v>
      </c>
      <c r="B17" s="426">
        <f>Datos!AO17</f>
        <v>2</v>
      </c>
      <c r="C17" s="427">
        <f>Datos!AQ17</f>
        <v>1</v>
      </c>
      <c r="D17" s="402">
        <f>IF(ISNUMBER(Datos!M17),Datos!M17," - ")</f>
        <v>18</v>
      </c>
      <c r="E17" s="403">
        <f>IF(ISNUMBER(D17/B17),D17/B17," - ")</f>
        <v>9</v>
      </c>
      <c r="F17" s="402">
        <f>IF(ISNUMBER(Datos!N17),Datos!N17," - ")</f>
        <v>47</v>
      </c>
      <c r="G17" s="403">
        <f>IF(ISNUMBER(F17/B17),F17/B17," - ")</f>
        <v>23.5</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176</v>
      </c>
      <c r="E18" s="849">
        <f t="shared" si="3"/>
        <v>22</v>
      </c>
      <c r="F18" s="848">
        <f>SUBTOTAL(9,F15:F17)</f>
        <v>1178</v>
      </c>
      <c r="G18" s="849">
        <f t="shared" si="4"/>
        <v>147.25</v>
      </c>
      <c r="H18" s="848">
        <f>SUBTOTAL(9,H15:H17)</f>
        <v>22</v>
      </c>
      <c r="I18" s="849">
        <f>IF(ISNUMBER(H18/B18),H18/B18," - ")</f>
        <v>2.75</v>
      </c>
      <c r="BZ18" s="1185"/>
    </row>
    <row r="19" spans="1:78" ht="14.25" thickTop="1" thickBot="1">
      <c r="A19" s="792" t="str">
        <f>Datos!A19</f>
        <v>TOTAL JURISDICCIONES</v>
      </c>
      <c r="B19" s="793">
        <f>Datos!AP19</f>
        <v>8</v>
      </c>
      <c r="C19" s="793">
        <f>Datos!AR19</f>
        <v>8</v>
      </c>
      <c r="D19" s="793">
        <f>SUBTOTAL(9,D8:D18)</f>
        <v>660</v>
      </c>
      <c r="E19" s="794">
        <f>IF(ISNUMBER(D19/B19),D19/B19," - ")</f>
        <v>82.5</v>
      </c>
      <c r="F19" s="793">
        <f>SUBTOTAL(9,F8:F18)</f>
        <v>1948</v>
      </c>
      <c r="G19" s="794">
        <f>IF(ISNUMBER(F19/B19),F19/B19," - ")</f>
        <v>243.5</v>
      </c>
      <c r="H19" s="793">
        <f>SUBTOTAL(9,H8:H18)</f>
        <v>1001</v>
      </c>
      <c r="I19" s="794">
        <f>IF(ISNUMBER(H19/B19),H19/B19," - ")</f>
        <v>125.125</v>
      </c>
    </row>
    <row r="22" spans="1:78">
      <c r="A22" s="390" t="str">
        <f>Criterios!A4</f>
        <v>Fecha Informe: 17 mar. 2026</v>
      </c>
    </row>
    <row r="27" spans="1:78">
      <c r="A27" s="413"/>
    </row>
  </sheetData>
  <sheetProtection algorithmName="SHA-512" hashValue="orSi1qzL8EhfKXNhCfykv+stiXyzx26BEbZta2fv1XtB/5jK8PYLfjMfD4jBn2TbwbXq2JXeuKT8lhdIspk/Lg==" saltValue="mcD+q7OF7r99yV1k+hC2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DOS HERMANAS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v>
      </c>
      <c r="C10" s="433">
        <f>IF(ISNUMBER(Datos!Q10),Datos!Q10," - ")</f>
        <v>0</v>
      </c>
      <c r="D10" s="407">
        <f>IF(ISNUMBER(Datos!R10),Datos!R10," - ")</f>
        <v>24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589</v>
      </c>
      <c r="C12" s="433">
        <f>IF(ISNUMBER(Datos!Q12),Datos!Q12," - ")</f>
        <v>208</v>
      </c>
      <c r="D12" s="407">
        <f>IF(ISNUMBER(Datos!R12),Datos!R12," - ")</f>
        <v>9787</v>
      </c>
    </row>
    <row r="13" spans="1:4" ht="14.25" thickTop="1" thickBot="1">
      <c r="A13" s="847" t="str">
        <f>Datos!A13</f>
        <v>TOTAL</v>
      </c>
      <c r="B13" s="848">
        <f>SUBTOTAL(9,B9:B12)</f>
        <v>593</v>
      </c>
      <c r="C13" s="852">
        <f>SUBTOTAL(9,C9:C12)</f>
        <v>208</v>
      </c>
      <c r="D13" s="850">
        <f>SUBTOTAL(9,D9:D12)</f>
        <v>9811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16</v>
      </c>
      <c r="C16" s="433">
        <f>IF(ISNUMBER(Datos!Q16),Datos!Q16," - ")</f>
        <v>84</v>
      </c>
      <c r="D16" s="407">
        <f>IF(ISNUMBER(Datos!R16),Datos!R16," - ")</f>
        <v>145</v>
      </c>
    </row>
    <row r="17" spans="1:4" ht="13.5" thickBot="1">
      <c r="A17" s="401" t="str">
        <f>Datos!A17</f>
        <v>Jdos. Violencia contra la mujer/Secc Viol. TI.</v>
      </c>
      <c r="B17" s="432">
        <f>IF(ISNUMBER(Datos!P17),Datos!P17," - ")</f>
        <v>0</v>
      </c>
      <c r="C17" s="433">
        <f>IF(ISNUMBER(Datos!Q17),Datos!Q17," - ")</f>
        <v>0</v>
      </c>
      <c r="D17" s="407">
        <f>IF(ISNUMBER(Datos!R17),Datos!R17," - ")</f>
        <v>23</v>
      </c>
    </row>
    <row r="18" spans="1:4" ht="14.25" thickTop="1" thickBot="1">
      <c r="A18" s="847" t="str">
        <f>Datos!A18</f>
        <v>TOTAL</v>
      </c>
      <c r="B18" s="848">
        <f>SUBTOTAL(9,B15:B17)</f>
        <v>16</v>
      </c>
      <c r="C18" s="852">
        <f>SUBTOTAL(9,C15:C17)</f>
        <v>84</v>
      </c>
      <c r="D18" s="850">
        <f>SUBTOTAL(9,D15:D17)</f>
        <v>168</v>
      </c>
    </row>
    <row r="19" spans="1:4" ht="16.5" customHeight="1" thickTop="1" thickBot="1">
      <c r="A19" s="792" t="str">
        <f>Datos!A19</f>
        <v>TOTAL JURISDICCIONES</v>
      </c>
      <c r="B19" s="797">
        <f>SUBTOTAL(9,B8:B18)</f>
        <v>609</v>
      </c>
      <c r="C19" s="798">
        <f>SUBTOTAL(9,C8:C18)</f>
        <v>292</v>
      </c>
      <c r="D19" s="799">
        <f>SUBTOTAL(9,D8:D18)</f>
        <v>9979</v>
      </c>
    </row>
    <row r="20" spans="1:4" ht="7.5" customHeight="1"/>
    <row r="21" spans="1:4" ht="6" customHeight="1"/>
    <row r="22" spans="1:4">
      <c r="A22" s="390" t="str">
        <f>Criterios!A4</f>
        <v>Fecha Informe: 17 mar. 2026</v>
      </c>
    </row>
    <row r="27" spans="1:4">
      <c r="A27" s="413"/>
    </row>
  </sheetData>
  <sheetProtection algorithmName="SHA-512" hashValue="odGMKrpwm9+uXLBtIYpBF5m53rsvofn6xIYdghhyfe8Exqn/+35pPdnZ6xqrFLiE6z5YBHxOEfHX//EJwdzG/g==" saltValue="Y7KpNNpP4qceee30Js9w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DOS HERMANAS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0.48648648648648651</v>
      </c>
      <c r="C10" s="455">
        <f>IF(ISNUMBER((Datos!J10-Datos!T10)/Datos!T10),(Datos!J10-Datos!T10)/Datos!T10," - ")</f>
        <v>-0.13043478260869565</v>
      </c>
      <c r="D10" s="455">
        <f>IF(ISNUMBER((Datos!K10-Datos!U10)/Datos!U10),(Datos!K10-Datos!U10)/Datos!U10," - ")</f>
        <v>7.333333333333333</v>
      </c>
      <c r="E10" s="455">
        <f>IF(ISNUMBER((Datos!L10-Datos!V10)/Datos!V10),(Datos!L10-Datos!V10)/Datos!V10," - ")</f>
        <v>8.6956521739130432E-2</v>
      </c>
      <c r="F10" s="455">
        <f>IF(ISNUMBER((Datos!M10-Datos!W10)/Datos!W10),(Datos!M10-Datos!W10)/Datos!W10," - ")</f>
        <v>4</v>
      </c>
      <c r="G10" s="456">
        <f>IF(ISNUMBER((Datos!N10-Datos!X10)/Datos!X10),(Datos!N10-Datos!X10)/Datos!X10," - ")</f>
        <v>4.5</v>
      </c>
      <c r="H10" s="454">
        <f>IF(ISNUMBER(((NºAsuntos!G10/NºAsuntos!E10)-Datos!BD10)/Datos!BD10),((NºAsuntos!G10/NºAsuntos!E10)-Datos!BD10)/Datos!BD10," - ")</f>
        <v>8.5833333333333339</v>
      </c>
      <c r="I10" s="455">
        <f>IF(ISNUMBER(((NºAsuntos!I10/NºAsuntos!G10)-Datos!BE10)/Datos!BE10),((NºAsuntos!I10/NºAsuntos!G10)-Datos!BE10)/Datos!BE10," - ")</f>
        <v>-0.86956521739130432</v>
      </c>
      <c r="J10" s="460">
        <f>IF(ISNUMBER((('Resol  Asuntos'!D10/NºAsuntos!G10)-Datos!BF10)/Datos!BF10),(('Resol  Asuntos'!D10/NºAsuntos!G10)-Datos!BF10)/Datos!BF10," - ")</f>
        <v>-0.39999999999999991</v>
      </c>
      <c r="K10" s="461">
        <f>IF(ISNUMBER((((NºAsuntos!C10+NºAsuntos!E10)/NºAsuntos!G10)-Datos!BG10)/Datos!BG10),(((NºAsuntos!C10+NºAsuntos!E10)/NºAsuntos!G10)-Datos!BG10)/Datos!BG10," - ")</f>
        <v>-0.85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0.19844407601071293</v>
      </c>
      <c r="C12" s="455">
        <f>IF(ISNUMBER(
   IF(J_V="SI",(Datos!J12-Datos!T12)/Datos!T12,(Datos!J12+Datos!Z12-(Datos!T12+Datos!AH12))/(Datos!T12+Datos!AH12))
     ),IF(J_V="SI",(Datos!J12-Datos!T12)/Datos!T12,(Datos!J12+Datos!Z12-(Datos!T12+Datos!AH12))/(Datos!T12+Datos!AH12))," - ")</f>
        <v>-0.43431151241534988</v>
      </c>
      <c r="D12" s="455">
        <f>IF(ISNUMBER(
   IF(J_V="SI",(Datos!K12-Datos!U12)/Datos!U12,(Datos!K12+Datos!AA12-(Datos!U12+Datos!AI12))/(Datos!U12+Datos!AI12))
     ),IF(J_V="SI",(Datos!K12-Datos!U12)/Datos!U12,(Datos!K12+Datos!AA12-(Datos!U12+Datos!AI12))/(Datos!U12+Datos!AI12))," - ")</f>
        <v>0.21274175199089876</v>
      </c>
      <c r="E12" s="455">
        <f>IF(ISNUMBER(
   IF(J_V="SI",(Datos!L12-Datos!V12)/Datos!V12,(Datos!L12+Datos!AB12-(Datos!V12+Datos!AJ12))/(Datos!V12+Datos!AJ12))
     ),IF(J_V="SI",(Datos!L12-Datos!V12)/Datos!V12,(Datos!L12+Datos!AB12-(Datos!V12+Datos!AJ12))/(Datos!V12+Datos!AJ12))," - ")</f>
        <v>2.651241262954929E-2</v>
      </c>
      <c r="F12" s="455">
        <f>IF(ISNUMBER((Datos!M12-Datos!W12)/Datos!W12),(Datos!M12-Datos!W12)/Datos!W12," - ")</f>
        <v>0.10879629629629629</v>
      </c>
      <c r="G12" s="456">
        <f>IF(ISNUMBER((Datos!N12-Datos!X12)/Datos!X12),(Datos!N12-Datos!X12)/Datos!X12," - ")</f>
        <v>0.28209459459459457</v>
      </c>
      <c r="H12" s="454">
        <f>IF(ISNUMBER(((NºAsuntos!G12/NºAsuntos!E12)-Datos!BD12)/Datos!BD12),((NºAsuntos!G12/NºAsuntos!E12)-Datos!BD12)/Datos!BD12," - ")</f>
        <v>1.1438331848841505</v>
      </c>
      <c r="I12" s="455">
        <f>IF(ISNUMBER(((NºAsuntos!I12/NºAsuntos!G12)-Datos!BE12)/Datos!BE12),((NºAsuntos!I12/NºAsuntos!G12)-Datos!BE12)/Datos!BE12," - ")</f>
        <v>-0.15356059033642222</v>
      </c>
      <c r="J12" s="460">
        <f>IF(ISNUMBER((('Resol  Asuntos'!D12/NºAsuntos!G12)-Datos!BF12)/Datos!BF12),(('Resol  Asuntos'!D12/NºAsuntos!G12)-Datos!BF12)/Datos!BF12," - ")</f>
        <v>-0.33281622382232129</v>
      </c>
      <c r="K12" s="461">
        <f>IF(ISNUMBER((((NºAsuntos!C12+NºAsuntos!E12)/NºAsuntos!G12)-Datos!BG12)/Datos!BG12),(((NºAsuntos!C12+NºAsuntos!E12)/NºAsuntos!G12)-Datos!BG12)/Datos!BG12," - ")</f>
        <v>-0.12671497400672557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0.1997969027671998</v>
      </c>
      <c r="C13" s="854">
        <f>IF(ISNUMBER(
   IF(J_V="SI",(Datos!J13-Datos!T13)/Datos!T13,(Datos!J13+Datos!Z13-(Datos!T13+Datos!AH13))/(Datos!T13+Datos!AH13))
     ),IF(J_V="SI",(Datos!J13-Datos!T13)/Datos!T13,(Datos!J13+Datos!Z13-(Datos!T13+Datos!AH13))/(Datos!T13+Datos!AH13))," - ")</f>
        <v>-0.43118856121537086</v>
      </c>
      <c r="D13" s="854">
        <f>IF(ISNUMBER(
   IF(J_V="SI",(Datos!K13-Datos!U13)/Datos!U13,(Datos!K13+Datos!AA13-(Datos!U13+Datos!AI13))/(Datos!U13+Datos!AI13))
     ),IF(J_V="SI",(Datos!K13-Datos!U13)/Datos!U13,(Datos!K13+Datos!AA13-(Datos!U13+Datos!AI13))/(Datos!U13+Datos!AI13))," - ")</f>
        <v>0.22487223168654175</v>
      </c>
      <c r="E13" s="854">
        <f>IF(ISNUMBER(
   IF(J_V="SI",(Datos!L13-Datos!V13)/Datos!V13,(Datos!L13+Datos!AB13-(Datos!V13+Datos!AJ13))/(Datos!V13+Datos!AJ13))
     ),IF(J_V="SI",(Datos!L13-Datos!V13)/Datos!V13,(Datos!L13+Datos!AB13-(Datos!V13+Datos!AJ13))/(Datos!V13+Datos!AJ13))," - ")</f>
        <v>2.6845637583892617E-2</v>
      </c>
      <c r="F13" s="855">
        <f>IF(ISNUMBER((Datos!M13-Datos!W13)/Datos!W13),(Datos!M13-Datos!W13)/Datos!W13," - ")</f>
        <v>0.11778290993071594</v>
      </c>
      <c r="G13" s="856">
        <f>IF(ISNUMBER((Datos!N13-Datos!X13)/Datos!X13),(Datos!N13-Datos!X13)/Datos!X13," - ")</f>
        <v>0.29629629629629628</v>
      </c>
      <c r="H13" s="856">
        <f>IF(ISNUMBER(((NºAsuntos!G13/NºAsuntos!E13)-Datos!BD13)/Datos!BD13),((NºAsuntos!G13/NºAsuntos!E13)-Datos!BD13)/Datos!BD13," - ")</f>
        <v>1.1533888880710765</v>
      </c>
      <c r="I13" s="856">
        <f>IF(ISNUMBER(((NºAsuntos!I13/NºAsuntos!G13)-Datos!BE13)/Datos!BE13),((NºAsuntos!I13/NºAsuntos!G13)-Datos!BE13)/Datos!BE13," - ")</f>
        <v>-0.16167122494889433</v>
      </c>
      <c r="J13" s="856">
        <f>IF(ISNUMBER((('Resol  Asuntos'!D13/NºAsuntos!G13)-Datos!BF13)/Datos!BF13),(('Resol  Asuntos'!D13/NºAsuntos!G13)-Datos!BF13)/Datos!BF13," - ")</f>
        <v>-0.33365387096093269</v>
      </c>
      <c r="K13" s="856">
        <f>IF(ISNUMBER((((NºAsuntos!C13+NºAsuntos!E13)/NºAsuntos!G13)-Datos!BG13)/Datos!BG13),(((NºAsuntos!C13+NºAsuntos!E13)/NºAsuntos!G13)-Datos!BG13)/Datos!BG13," - ")</f>
        <v>-0.13443897795310136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0.10962783171521036</v>
      </c>
      <c r="C16" s="455">
        <f>IF(ISNUMBER(
   IF(D_I="SI",(Datos!J16-Datos!T16)/Datos!T16,(Datos!J16+Datos!AD16-(Datos!T16+Datos!AL16))/(Datos!T16+Datos!AL16))
     ),IF(D_I="SI",(Datos!J16-Datos!T16)/Datos!T16,(Datos!J16+Datos!AD16-(Datos!T16+Datos!AL16))/(Datos!T16+Datos!AL16))," - ")</f>
        <v>-1.452020202020202E-2</v>
      </c>
      <c r="D16" s="455">
        <f>IF(ISNUMBER(
   IF(D_I="SI",(Datos!K16-Datos!U16)/Datos!U16,(Datos!K16+Datos!AE16-(Datos!U16+Datos!AM16))/(Datos!U16+Datos!AM16))
     ),IF(D_I="SI",(Datos!K16-Datos!U16)/Datos!U16,(Datos!K16+Datos!AE16-(Datos!U16+Datos!AM16))/(Datos!U16+Datos!AM16))," - ")</f>
        <v>0.19623461259956554</v>
      </c>
      <c r="E16" s="455">
        <f>IF(ISNUMBER(
   IF(D_I="SI",(Datos!L16-Datos!V16)/Datos!V16,(Datos!L16+Datos!AF16-(Datos!V16+Datos!AN16))/(Datos!V16+Datos!AN16))
     ),IF(D_I="SI",(Datos!L16-Datos!V16)/Datos!V16,(Datos!L16+Datos!AF16-(Datos!V16+Datos!AN16))/(Datos!V16+Datos!AN16))," - ")</f>
        <v>7.7110389610389615E-2</v>
      </c>
      <c r="F16" s="455">
        <f>IF(ISNUMBER((Datos!M16-Datos!W16)/Datos!W16),(Datos!M16-Datos!W16)/Datos!W16," - ")</f>
        <v>-8.1395348837209308E-2</v>
      </c>
      <c r="G16" s="456">
        <f>IF(ISNUMBER((Datos!N16-Datos!X16)/Datos!X16),(Datos!N16-Datos!X16)/Datos!X16," - ")</f>
        <v>0.24422442244224424</v>
      </c>
      <c r="H16" s="454">
        <f>IF(ISNUMBER(((NºAsuntos!G16/NºAsuntos!E16)-Datos!BD16)/Datos!BD16),((NºAsuntos!G16/NºAsuntos!E16)-Datos!BD16)/Datos!BD16," - ")</f>
        <v>0.21386010657124385</v>
      </c>
      <c r="I16" s="455">
        <f>IF(ISNUMBER(((NºAsuntos!I16/NºAsuntos!G16)-Datos!BE16)/Datos!BE16),((NºAsuntos!I16/NºAsuntos!G16)-Datos!BE16)/Datos!BE16," - ")</f>
        <v>-9.9582658564196111E-2</v>
      </c>
      <c r="J16" s="460">
        <f>IF(ISNUMBER((('Resol  Asuntos'!D16/NºAsuntos!G16)-Datos!BF16)/Datos!BF16),(('Resol  Asuntos'!D16/NºAsuntos!G16)-Datos!BF16)/Datos!BF16," - ")</f>
        <v>-0.23208654766597223</v>
      </c>
      <c r="K16" s="461">
        <f>IF(ISNUMBER((((NºAsuntos!C16+NºAsuntos!E16)/NºAsuntos!G16)-Datos!BG16)/Datos!BG16),(((NºAsuntos!C16+NºAsuntos!E16)/NºAsuntos!G16)-Datos!BG16)/Datos!BG16," - ")</f>
        <v>-0.11292987759741348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0.33918128654970758</v>
      </c>
      <c r="C17" s="455">
        <f>IF(ISNUMBER(
   IF(D_I="SI",(Datos!J17-Datos!T17)/Datos!T17,(Datos!J17+Datos!AD17-(Datos!T17+Datos!AL17))/(Datos!T17+Datos!AL17))
     ),IF(D_I="SI",(Datos!J17-Datos!T17)/Datos!T17,(Datos!J17+Datos!AD17-(Datos!T17+Datos!AL17))/(Datos!T17+Datos!AL17))," - ")</f>
        <v>-0.51485148514851486</v>
      </c>
      <c r="D17" s="455">
        <f>IF(ISNUMBER(
   IF(D_I="SI",(Datos!K17-Datos!U17)/Datos!U17,(Datos!K17+Datos!AE17-(Datos!U17+Datos!AM17))/(Datos!U17+Datos!AM17))
     ),IF(D_I="SI",(Datos!K17-Datos!U17)/Datos!U17,(Datos!K17+Datos!AE17-(Datos!U17+Datos!AM17))/(Datos!U17+Datos!AM17))," - ")</f>
        <v>-0.38174273858921159</v>
      </c>
      <c r="E17" s="455">
        <f>IF(ISNUMBER(
   IF(D_I="SI",(Datos!L17-Datos!V17)/Datos!V17,(Datos!L17+Datos!AF17-(Datos!V17+Datos!AN17))/(Datos!V17+Datos!AN17))
     ),IF(D_I="SI",(Datos!L17-Datos!V17)/Datos!V17,(Datos!L17+Datos!AF17-(Datos!V17+Datos!AN17))/(Datos!V17+Datos!AN17))," - ")</f>
        <v>-8.247422680412371E-2</v>
      </c>
      <c r="F17" s="455">
        <f>IF(ISNUMBER((Datos!M17-Datos!W17)/Datos!W17),(Datos!M17-Datos!W17)/Datos!W17," - ")</f>
        <v>-0.14285714285714285</v>
      </c>
      <c r="G17" s="456">
        <f>IF(ISNUMBER((Datos!N17-Datos!X17)/Datos!X17),(Datos!N17-Datos!X17)/Datos!X17," - ")</f>
        <v>-0.70625000000000004</v>
      </c>
      <c r="H17" s="454">
        <f>IF(ISNUMBER(((NºAsuntos!G17/NºAsuntos!E17)-Datos!BD17)/Datos!BD17),((NºAsuntos!G17/NºAsuntos!E17)-Datos!BD17)/Datos!BD17," - ")</f>
        <v>0.27436700821407406</v>
      </c>
      <c r="I17" s="455">
        <f>IF(ISNUMBER(((NºAsuntos!I17/NºAsuntos!G17)-Datos!BE17)/Datos!BE17),((NºAsuntos!I17/NºAsuntos!G17)-Datos!BE17)/Datos!BE17," - ")</f>
        <v>0.48405175396111533</v>
      </c>
      <c r="J17" s="460">
        <f>IF(ISNUMBER((('Resol  Asuntos'!D17/NºAsuntos!G17)-Datos!BF17)/Datos!BF17),(('Resol  Asuntos'!D17/NºAsuntos!G17)-Datos!BF17)/Datos!BF17," - ")</f>
        <v>0.38638542665388315</v>
      </c>
      <c r="K17" s="461">
        <f>IF(ISNUMBER((((NºAsuntos!C17+NºAsuntos!E17)/NºAsuntos!G17)-Datos!BG17)/Datos!BG17),(((NºAsuntos!C17+NºAsuntos!E17)/NºAsuntos!G17)-Datos!BG17)/Datos!BG17," - ")</f>
        <v>0.4179786602371483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0.12447975785092698</v>
      </c>
      <c r="C18" s="854">
        <f>IF(ISNUMBER(
   IF(Criterios!B14="SI",(Datos!J18-Datos!T18)/Datos!T18,(Datos!J18+Datos!AD18-(Datos!T18+Datos!AL18))/(Datos!T18+Datos!AL18))
     ),IF(Criterios!B14="SI",(Datos!J18-Datos!T18)/Datos!T18,(Datos!J18+Datos!AD18-(Datos!T18+Datos!AL18))/(Datos!T18+Datos!AL18))," - ")</f>
        <v>-7.1108622620380743E-2</v>
      </c>
      <c r="D18" s="854">
        <f>IF(ISNUMBER(
   IF(Criterios!B14="SI",(Datos!K18-Datos!U18)/Datos!U18,(Datos!K18+Datos!AE18-(Datos!U18+Datos!AM18))/(Datos!U18+Datos!AM18))
     ),IF(Criterios!B14="SI",(Datos!K18-Datos!U18)/Datos!U18,(Datos!K18+Datos!AE18-(Datos!U18+Datos!AM18))/(Datos!U18+Datos!AM18))," - ")</f>
        <v>0.11035758323057954</v>
      </c>
      <c r="E18" s="854">
        <f>IF(ISNUMBER(
   IF(Criterios!B14="SI",(Datos!L18-Datos!V18)/Datos!V18,(Datos!L18+Datos!AF18-(Datos!V18+Datos!AN18))/(Datos!V18+Datos!AN18))
     ),IF(Criterios!B14="SI",(Datos!L18-Datos!V18)/Datos!V18,(Datos!L18+Datos!AF18-(Datos!V18+Datos!AN18))/(Datos!V18+Datos!AN18))," - ")</f>
        <v>6.5462753950338598E-2</v>
      </c>
      <c r="F18" s="855">
        <f>IF(ISNUMBER((Datos!M18-Datos!W18)/Datos!W18),(Datos!M18-Datos!W18)/Datos!W18," - ")</f>
        <v>-8.8082901554404139E-2</v>
      </c>
      <c r="G18" s="856">
        <f>IF(ISNUMBER((Datos!N18-Datos!X18)/Datos!X18),(Datos!N18-Datos!X18)/Datos!X18," - ")</f>
        <v>0.1019644527595884</v>
      </c>
      <c r="H18" s="856">
        <f>IF(ISNUMBER(((NºAsuntos!G18/NºAsuntos!E18)-Datos!BD18)/Datos!BD18),((NºAsuntos!G18/NºAsuntos!E18)-Datos!BD18)/Datos!BD18," - ")</f>
        <v>0.19535783221809225</v>
      </c>
      <c r="I18" s="856">
        <f>IF(ISNUMBER(((NºAsuntos!I18/NºAsuntos!G18)-Datos!BE18)/Datos!BE18),((NºAsuntos!I18/NºAsuntos!G18)-Datos!BE18)/Datos!BE18," - ")</f>
        <v>-4.0432766847612912E-2</v>
      </c>
      <c r="J18" s="856">
        <f>IF(ISNUMBER((('Resol  Asuntos'!D18/NºAsuntos!G18)-Datos!BF18)/Datos!BF18),(('Resol  Asuntos'!D18/NºAsuntos!G18)-Datos!BF18)/Datos!BF18," - ")</f>
        <v>-0.17871763815727015</v>
      </c>
      <c r="K18" s="856">
        <f>IF(ISNUMBER((((NºAsuntos!C18+NºAsuntos!E18)/NºAsuntos!G18)-Datos!BG18)/Datos!BG18),(((NºAsuntos!C18+NºAsuntos!E18)/NºAsuntos!G18)-Datos!BG18)/Datos!BG18," - ")</f>
        <v>-5.831373127670849E-2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0.18087634255298926</v>
      </c>
      <c r="C19" s="801">
        <f>IF(ISNUMBER(
   IF(J_V="SI",(Datos!J19-Datos!T19)/Datos!T19,(Datos!J19+Datos!Z19-(Datos!T19+Datos!AH19))/(Datos!T19+Datos!AH19))
     ),IF(J_V="SI",(Datos!J19-Datos!T19)/Datos!T19,(Datos!J19+Datos!Z19-(Datos!T19+Datos!AH19))/(Datos!T19+Datos!AH19))," - ")</f>
        <v>-0.27137176938369784</v>
      </c>
      <c r="D19" s="801">
        <f>IF(ISNUMBER(
   IF(J_V="SI",(Datos!K19-Datos!U19)/Datos!U19,(Datos!K19+Datos!AA19-(Datos!U19+Datos!AI19))/(Datos!U19+Datos!AI19))
     ),IF(J_V="SI",(Datos!K19-Datos!U19)/Datos!U19,(Datos!K19+Datos!AA19-(Datos!U19+Datos!AI19))/(Datos!U19+Datos!AI19))," - ")</f>
        <v>0.16996748448122967</v>
      </c>
      <c r="E19" s="801">
        <f>IF(ISNUMBER(
   IF(J_V="SI",(Datos!L19-Datos!V19)/Datos!V19,(Datos!L19+Datos!AB19-(Datos!V19+Datos!AJ19))/(Datos!V19+Datos!AJ19))
     ),IF(J_V="SI",(Datos!L19-Datos!V19)/Datos!V19,(Datos!L19+Datos!AB19-(Datos!V19+Datos!AJ19))/(Datos!V19+Datos!AJ19))," - ")</f>
        <v>3.617524086529722E-2</v>
      </c>
      <c r="F19" s="802">
        <f>IF(ISNUMBER((Datos!M19-Datos!W19)/Datos!W19),(Datos!M19-Datos!W19)/Datos!W19," - ")</f>
        <v>5.4313099041533544E-2</v>
      </c>
      <c r="G19" s="803">
        <f>IF(ISNUMBER((Datos!N19-Datos!X19)/Datos!X19),(Datos!N19-Datos!X19)/Datos!X19," - ")</f>
        <v>0.17137702946482261</v>
      </c>
      <c r="H19" s="804">
        <f>IF(ISNUMBER((Tasas!B19-Datos!BD19)/Datos!BD19),(Tasas!B19-Datos!BD19)/Datos!BD19," - ")</f>
        <v>0.60571253668228786</v>
      </c>
      <c r="I19" s="805">
        <f>IF(ISNUMBER((Tasas!C19-Datos!BE19)/Datos!BE19),(Tasas!C19-Datos!BE19)/Datos!BE19," - ")</f>
        <v>-0.11435552302998989</v>
      </c>
      <c r="J19" s="806">
        <f>IF(ISNUMBER((Tasas!D19-Datos!BF19)/Datos!BF19),(Tasas!D19-Datos!BF19)/Datos!BF19," - ")</f>
        <v>-0.28229231356726553</v>
      </c>
      <c r="K19" s="806">
        <f>IF(ISNUMBER((Tasas!E19-Datos!BG19)/Datos!BG19),(Tasas!E19-Datos!BG19)/Datos!BG19," - ")</f>
        <v>-9.7617663361479798E-2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VswQVOF3dYDQAxU0LSWmca2UoCvAKFg+gFtbBzfkwpyBhob860/GpcghzQ7AGXvOpsGPKp4lWf/YKqAeaqiJOg==" saltValue="X/QY6Vn4ZwIwaZLfBFQJ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DOS HERMANAS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2</v>
      </c>
      <c r="D10" s="443">
        <f>IF(ISNUMBER('Resol  Asuntos'!D10/NºAsuntos!G10),'Resol  Asuntos'!D10/NºAsuntos!G10," - ")</f>
        <v>0.2</v>
      </c>
      <c r="E10" s="444">
        <f>IF(ISNUMBER((NºAsuntos!C10+NºAsuntos!E10)/NºAsuntos!G10),(NºAsuntos!C10+NºAsuntos!E10)/NºAsuntos!G10," - ")</f>
        <v>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1.7015163607342378</v>
      </c>
      <c r="C12" s="442">
        <f>IF(ISNUMBER(NºAsuntos!I12/NºAsuntos!G12),NºAsuntos!I12/NºAsuntos!G12," - ")</f>
        <v>3.9953095684803004</v>
      </c>
      <c r="D12" s="443">
        <f>IF(ISNUMBER('Resol  Asuntos'!D12/NºAsuntos!G12),'Resol  Asuntos'!D12/NºAsuntos!G12," - ")</f>
        <v>0.22467166979362102</v>
      </c>
      <c r="E12" s="444">
        <f>IF(ISNUMBER((NºAsuntos!C12+NºAsuntos!E12)/NºAsuntos!G12),(NºAsuntos!C12+NºAsuntos!E12)/NºAsuntos!G12," - ")</f>
        <v>4.9953095684802999</v>
      </c>
      <c r="G12" s="462"/>
    </row>
    <row r="13" spans="1:7" ht="14.25" thickTop="1" thickBot="1">
      <c r="A13" s="847" t="str">
        <f>Datos!A13</f>
        <v>TOTAL</v>
      </c>
      <c r="B13" s="857">
        <f>IF(ISNUMBER(NºAsuntos!G13/NºAsuntos!E13),NºAsuntos!G13/NºAsuntos!E13," - ")</f>
        <v>1.6944226237234878</v>
      </c>
      <c r="C13" s="858">
        <f>IF(ISNUMBER(NºAsuntos!I13/NºAsuntos!G13),NºAsuntos!I13/NºAsuntos!G13," - ")</f>
        <v>3.9721835883171073</v>
      </c>
      <c r="D13" s="859">
        <f>IF(ISNUMBER('Resol  Asuntos'!D13/NºAsuntos!G13),'Resol  Asuntos'!D13/NºAsuntos!G13," - ")</f>
        <v>0.22438572090866946</v>
      </c>
      <c r="E13" s="860">
        <f>IF(ISNUMBER((NºAsuntos!C13+NºAsuntos!E13)/NºAsuntos!G13),(NºAsuntos!C13+NºAsuntos!E13)/NºAsuntos!G13," - ")</f>
        <v>4.9721835883171073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1.0582959641255605</v>
      </c>
      <c r="C16" s="442">
        <f>IF(ISNUMBER(NºAsuntos!I16/NºAsuntos!G16),NºAsuntos!I16/NºAsuntos!G16," - ")</f>
        <v>1.6065375302663438</v>
      </c>
      <c r="D16" s="443">
        <f>IF(ISNUMBER('Resol  Asuntos'!D16/NºAsuntos!G16),'Resol  Asuntos'!D16/NºAsuntos!G16," - ")</f>
        <v>9.5641646489104115E-2</v>
      </c>
      <c r="E16" s="444">
        <f>IF(ISNUMBER((NºAsuntos!C16+NºAsuntos!E16)/NºAsuntos!G16),(NºAsuntos!C16+NºAsuntos!E16)/NºAsuntos!G16," - ")</f>
        <v>2.6053268765133173</v>
      </c>
      <c r="G16" s="462"/>
    </row>
    <row r="17" spans="1:7" ht="21.75" thickBot="1">
      <c r="A17" s="401" t="str">
        <f>Datos!A17</f>
        <v>Jdos. Violencia contra la mujer/Secc Viol. TI.</v>
      </c>
      <c r="B17" s="441">
        <f>IF(ISNUMBER(NºAsuntos!G17/NºAsuntos!E17),NºAsuntos!G17/NºAsuntos!E17," - ")</f>
        <v>1.5204081632653061</v>
      </c>
      <c r="C17" s="442">
        <f>IF(ISNUMBER(NºAsuntos!I17/NºAsuntos!G17),NºAsuntos!I17/NºAsuntos!G17," - ")</f>
        <v>1.1946308724832215</v>
      </c>
      <c r="D17" s="443">
        <f>IF(ISNUMBER('Resol  Asuntos'!D17/NºAsuntos!G17),'Resol  Asuntos'!D17/NºAsuntos!G17," - ")</f>
        <v>0.12080536912751678</v>
      </c>
      <c r="E17" s="444">
        <f>IF(ISNUMBER((NºAsuntos!C17+NºAsuntos!E17)/NºAsuntos!G17),(NºAsuntos!C17+NºAsuntos!E17)/NºAsuntos!G17," - ")</f>
        <v>2.1946308724832213</v>
      </c>
      <c r="G17" s="462"/>
    </row>
    <row r="18" spans="1:7" ht="14.25" thickTop="1" thickBot="1">
      <c r="A18" s="847" t="str">
        <f>Datos!A18</f>
        <v>TOTAL</v>
      </c>
      <c r="B18" s="857">
        <f>IF(ISNUMBER(NºAsuntos!G18/NºAsuntos!E18),NºAsuntos!G18/NºAsuntos!E18," - ")</f>
        <v>1.0855937311633514</v>
      </c>
      <c r="C18" s="858">
        <f>IF(ISNUMBER(NºAsuntos!I18/NºAsuntos!G18),NºAsuntos!I18/NºAsuntos!G18," - ")</f>
        <v>1.5724597445863409</v>
      </c>
      <c r="D18" s="861">
        <f>IF(ISNUMBER('Resol  Asuntos'!D18/NºAsuntos!G18),'Resol  Asuntos'!D18/NºAsuntos!G18," - ")</f>
        <v>9.77234869516935E-2</v>
      </c>
      <c r="E18" s="860">
        <f>IF(ISNUMBER((NºAsuntos!C18+NºAsuntos!E18)/NºAsuntos!G18),(NºAsuntos!C18+NºAsuntos!E18)/NºAsuntos!G18," - ")</f>
        <v>2.5713492504164353</v>
      </c>
      <c r="G18" s="462"/>
    </row>
    <row r="19" spans="1:7" ht="15.75" customHeight="1" thickTop="1" thickBot="1">
      <c r="A19" s="792" t="str">
        <f>Datos!A19</f>
        <v>TOTAL JURISDICCIONES</v>
      </c>
      <c r="B19" s="807">
        <f>IF(ISNUMBER(NºAsuntos!G19/NºAsuntos!E19),NºAsuntos!G19/NºAsuntos!E19," - ")</f>
        <v>1.3499317871759891</v>
      </c>
      <c r="C19" s="808">
        <f>IF(ISNUMBER(NºAsuntos!I19/NºAsuntos!G19),NºAsuntos!I19/NºAsuntos!G19," - ")</f>
        <v>2.880242546740778</v>
      </c>
      <c r="D19" s="809">
        <f>IF(ISNUMBER('Resol  Asuntos'!D19/NºAsuntos!G19),'Resol  Asuntos'!D19/NºAsuntos!G19," - ")</f>
        <v>0.16675088428499241</v>
      </c>
      <c r="E19" s="810">
        <f>IF(ISNUMBER((NºAsuntos!C19+NºAsuntos!E19)/NºAsuntos!G19),(NºAsuntos!C19+NºAsuntos!E19)/NºAsuntos!G19," - ")</f>
        <v>3.8797372410308237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3NvfwnYyJL48ngS2edHTmpHzp9ksrU8C+9OWB8qo+/O/lUNvg+Ng6MOwSle3ngNk1JnqHlam0M6YbBi8klx+VA==" saltValue="B3QPKdZ+gP/Z8U5Q9ZGk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DOS HERMANAS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55</v>
      </c>
      <c r="G10" s="332">
        <f>IF(ISNUMBER(Datos!I10),Datos!I10," - ")</f>
        <v>55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0</v>
      </c>
      <c r="Y10" s="333">
        <f t="shared" ref="Y10:Y12" si="0">SUM(W10:X10)</f>
        <v>25</v>
      </c>
      <c r="Z10" s="334" t="str">
        <f>IF(ISNUMBER(Datos!CC10),Datos!CC10," - ")</f>
        <v xml:space="preserve"> - </v>
      </c>
      <c r="AA10" s="331">
        <f>IF(ISNUMBER(Datos!L10),Datos!L10,"-")</f>
        <v>50</v>
      </c>
      <c r="AB10" s="333">
        <f>IF(ISNUMBER(Datos!R10),Datos!R10," - ")</f>
        <v>24</v>
      </c>
      <c r="AC10" s="333">
        <f t="shared" ref="AC10:AC12" si="1">IF(ISNUMBER(AA10+AB10),AA10+AB10," - ")</f>
        <v>74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6</v>
      </c>
      <c r="AN10" s="243">
        <f>IF(ISNUMBER('Resol  Asuntos'!D10/NºAsuntos!G10),'Resol  Asuntos'!D10/NºAsuntos!G10," - ")</f>
        <v>0.2</v>
      </c>
      <c r="AO10" s="244">
        <f>IF(ISNUMBER((NºAsuntos!C10+NºAsuntos!E10)/NºAsuntos!G10),(NºAsuntos!C10+NºAsuntos!E10)/NºAsuntos!G10," - ")</f>
        <v>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7</v>
      </c>
      <c r="B12" s="274" t="s">
        <v>246</v>
      </c>
      <c r="C12" s="7" t="str">
        <f>Datos!A12</f>
        <v xml:space="preserve">Jdos. 1ª Instª. e Instr./Secc. Civil y de Inst. TI                      </v>
      </c>
      <c r="D12" s="7"/>
      <c r="E12" s="1024">
        <f>IF(ISNUMBER(Datos!AQ12),Datos!AQ12," - ")</f>
        <v>7</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208</v>
      </c>
      <c r="Y12" s="333">
        <f t="shared" si="0"/>
        <v>208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479</v>
      </c>
      <c r="AJ12" s="228" t="str">
        <f>IF(ISNUMBER(Datos!BW12),Datos!BW12," - ")</f>
        <v xml:space="preserve"> - </v>
      </c>
      <c r="AK12" s="227" t="str">
        <f>IF(ISNUMBER(Datos!BX12),Datos!BX12," - ")</f>
        <v xml:space="preserve"> - </v>
      </c>
      <c r="AL12" s="242">
        <f>IF(ISNUMBER(NºAsuntos!G12/NºAsuntos!E12),NºAsuntos!G12/NºAsuntos!E12," - ")</f>
        <v>1.7015163607342378</v>
      </c>
      <c r="AM12" s="259">
        <f>IF(ISNUMBER(((NºAsuntos!I12/NºAsuntos!G12)*11)/factor_trimestre),((NºAsuntos!I12/NºAsuntos!G12)*11)/factor_trimestre," - ")</f>
        <v>11.985928705440902</v>
      </c>
      <c r="AN12" s="243">
        <f>IF(ISNUMBER('Resol  Asuntos'!D12/NºAsuntos!G12),'Resol  Asuntos'!D12/NºAsuntos!G12," - ")</f>
        <v>0.22467166979362102</v>
      </c>
      <c r="AO12" s="244">
        <f>IF(ISNUMBER((NºAsuntos!C12+NºAsuntos!E12)/NºAsuntos!G12),(NºAsuntos!C12+NºAsuntos!E12)/NºAsuntos!G12," - ")</f>
        <v>4.9953095684802999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55</v>
      </c>
      <c r="G13" s="865">
        <f t="shared" si="3"/>
        <v>55</v>
      </c>
      <c r="H13" s="864">
        <f t="shared" si="3"/>
        <v>0</v>
      </c>
      <c r="I13" s="866">
        <f t="shared" si="3"/>
        <v>0</v>
      </c>
      <c r="J13" s="866">
        <f t="shared" si="3"/>
        <v>0</v>
      </c>
      <c r="K13" s="866">
        <f t="shared" si="3"/>
        <v>0</v>
      </c>
      <c r="L13" s="866">
        <f t="shared" si="3"/>
        <v>593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208</v>
      </c>
      <c r="Y13" s="867">
        <f t="shared" si="4"/>
        <v>233</v>
      </c>
      <c r="Z13" s="867">
        <f t="shared" si="4"/>
        <v>0</v>
      </c>
      <c r="AA13" s="867">
        <f t="shared" si="4"/>
        <v>50</v>
      </c>
      <c r="AB13" s="867">
        <f t="shared" si="4"/>
        <v>9811</v>
      </c>
      <c r="AC13" s="867">
        <f t="shared" si="4"/>
        <v>74</v>
      </c>
      <c r="AD13" s="867">
        <f t="shared" si="4"/>
        <v>0</v>
      </c>
      <c r="AE13" s="871">
        <f t="shared" si="4"/>
        <v>0</v>
      </c>
      <c r="AF13" s="864">
        <f t="shared" si="4"/>
        <v>0</v>
      </c>
      <c r="AG13" s="872">
        <f t="shared" si="4"/>
        <v>0</v>
      </c>
      <c r="AH13" s="869">
        <f t="shared" si="4"/>
        <v>0</v>
      </c>
      <c r="AI13" s="864">
        <f t="shared" si="4"/>
        <v>484</v>
      </c>
      <c r="AJ13" s="866">
        <f t="shared" si="4"/>
        <v>0</v>
      </c>
      <c r="AK13" s="869">
        <f>SUBTOTAL(9,AK9:AK12)</f>
        <v>0</v>
      </c>
      <c r="AL13" s="873">
        <f>IF(ISNUMBER(NºAsuntos!G13/NºAsuntos!E13),NºAsuntos!G13/NºAsuntos!E13," - ")</f>
        <v>1.6944226237234878</v>
      </c>
      <c r="AM13" s="873">
        <f>IF(ISNUMBER(((NºAsuntos!I13/NºAsuntos!G13)*11)/factor_trimestre),((NºAsuntos!I13/NºAsuntos!G13)*11)/factor_trimestre," - ")</f>
        <v>11.916550764951323</v>
      </c>
      <c r="AN13" s="874">
        <f>IF(ISNUMBER('Resol  Asuntos'!D13/NºAsuntos!G13),'Resol  Asuntos'!D13/NºAsuntos!G13," - ")</f>
        <v>0.22438572090866946</v>
      </c>
      <c r="AO13" s="875">
        <f>IF(ISNUMBER((NºAsuntos!C13+NºAsuntos!E13)/NºAsuntos!G13),(NºAsuntos!C13+NºAsuntos!E13)/NºAsuntos!G13," - ")</f>
        <v>4.9721835883171073</v>
      </c>
      <c r="AP13" s="876" t="str">
        <f t="shared" si="2"/>
        <v xml:space="preserve"> - </v>
      </c>
      <c r="AQ13" s="876">
        <f>IF(ISNUMBER((H13-W13+K13)/(F13)),(H13-W13+K13)/(F13)," - ")</f>
        <v>-0.45454545454545453</v>
      </c>
      <c r="AR13" s="877">
        <f>IF(ISNUMBER((Datos!P13-Datos!Q13)/(Datos!R13-Datos!P13+Datos!Q13)),(Datos!P13-Datos!Q13)/(Datos!R13-Datos!P13+Datos!Q13)," - ")</f>
        <v>4.0844472734988327E-2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7</v>
      </c>
      <c r="B16" s="274" t="s">
        <v>396</v>
      </c>
      <c r="C16" s="159" t="str">
        <f>Datos!A16</f>
        <v xml:space="preserve">Jdos. 1ª Instª. e Instr./Secc. Civil y de Inst. TI                      </v>
      </c>
      <c r="D16" s="159"/>
      <c r="E16" s="1024">
        <f>IF(ISNUMBER(Datos!AQ16),Datos!AQ16," - ")</f>
        <v>7</v>
      </c>
      <c r="F16" s="224">
        <f>IF(ISNUMBER(AA16+W16-Datos!J16-K16),AA16+W16-Datos!J16-K16," - ")</f>
        <v>2745</v>
      </c>
      <c r="G16" s="332">
        <f>IF(ISNUMBER(IF(D_I="SI",Datos!I16,Datos!I16+Datos!AC16)),IF(D_I="SI",Datos!I16,Datos!I16+Datos!AC16)," - ")</f>
        <v>2743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1652</v>
      </c>
      <c r="X16" s="225">
        <f>IF(ISNUMBER(Datos!Q16),Datos!Q16," - ")</f>
        <v>84</v>
      </c>
      <c r="Y16" s="333">
        <f t="shared" ref="Y16:Y17" si="7">SUM(W16:X16)</f>
        <v>1736</v>
      </c>
      <c r="Z16" s="334" t="str">
        <f>IF(ISNUMBER(Datos!CC16),Datos!CC16," - ")</f>
        <v xml:space="preserve"> - </v>
      </c>
      <c r="AA16" s="331">
        <f>IF(ISNUMBER(IF(D_I="SI",Datos!L16,Datos!L16+Datos!AF16)),IF(D_I="SI",Datos!L16,Datos!L16+Datos!AF16)," - ")</f>
        <v>2654</v>
      </c>
      <c r="AB16" s="333">
        <f>IF(ISNUMBER(Datos!R16),Datos!R16," - ")</f>
        <v>145</v>
      </c>
      <c r="AC16" s="333">
        <f t="shared" si="6"/>
        <v>2799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158</v>
      </c>
      <c r="AJ16" s="230" t="str">
        <f>IF(ISNUMBER(Datos!BW16),Datos!BW16," - ")</f>
        <v xml:space="preserve"> - </v>
      </c>
      <c r="AK16" s="231" t="str">
        <f>IF(ISNUMBER(Datos!BX16),Datos!BX16," - ")</f>
        <v xml:space="preserve"> - </v>
      </c>
      <c r="AL16" s="242">
        <f>IF(ISNUMBER(NºAsuntos!G16/NºAsuntos!E16),NºAsuntos!G16/NºAsuntos!E16," - ")</f>
        <v>1.0582959641255605</v>
      </c>
      <c r="AM16" s="259">
        <f>IF(ISNUMBER(((NºAsuntos!I16/NºAsuntos!G16)*11)/factor_trimestre),((NºAsuntos!I16/NºAsuntos!G16)*11)/factor_trimestre," - ")</f>
        <v>4.8196125907990313</v>
      </c>
      <c r="AN16" s="243">
        <f>IF(ISNUMBER('Resol  Asuntos'!D16/NºAsuntos!G16),'Resol  Asuntos'!D16/NºAsuntos!G16," - ")</f>
        <v>9.5641646489104115E-2</v>
      </c>
      <c r="AO16" s="244">
        <f>IF(ISNUMBER((NºAsuntos!C16+NºAsuntos!E16)/NºAsuntos!G16),(NºAsuntos!C16+NºAsuntos!E16)/NºAsuntos!G16," - ")</f>
        <v>2.6053268765133173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149</v>
      </c>
      <c r="X17" s="225">
        <f>IF(ISNUMBER(Datos!Q17),Datos!Q17," - ")</f>
        <v>0</v>
      </c>
      <c r="Y17" s="333">
        <f t="shared" si="7"/>
        <v>149</v>
      </c>
      <c r="Z17" s="334" t="str">
        <f>IF(ISNUMBER(Datos!CC17),Datos!CC17," - ")</f>
        <v xml:space="preserve"> - </v>
      </c>
      <c r="AA17" s="331">
        <f>IF(ISNUMBER(Datos!L17),Datos!L17,"-")</f>
        <v>178</v>
      </c>
      <c r="AB17" s="333">
        <f>IF(ISNUMBER(Datos!R17),Datos!R17," - ")</f>
        <v>23</v>
      </c>
      <c r="AC17" s="333">
        <f t="shared" si="6"/>
        <v>201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1.5204081632653061</v>
      </c>
      <c r="AM17" s="259">
        <f>IF(ISNUMBER(((NºAsuntos!I17/NºAsuntos!G17)*11)/factor_trimestre),((NºAsuntos!I17/NºAsuntos!G17)*11)/factor_trimestre," - ")</f>
        <v>3.5838926174496648</v>
      </c>
      <c r="AN17" s="243">
        <f>IF(ISNUMBER('Resol  Asuntos'!D17/NºAsuntos!G17),'Resol  Asuntos'!D17/NºAsuntos!G17," - ")</f>
        <v>0.12080536912751678</v>
      </c>
      <c r="AO17" s="244">
        <f>IF(ISNUMBER((NºAsuntos!C17+NºAsuntos!E17)/NºAsuntos!G17),(NºAsuntos!C17+NºAsuntos!E17)/NºAsuntos!G17," - ")</f>
        <v>2.1946308724832213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2745</v>
      </c>
      <c r="G18" s="865">
        <f>SUBTOTAL(9,G15:G17)</f>
        <v>2972</v>
      </c>
      <c r="H18" s="864">
        <f t="shared" ref="H18:O18" si="10">SUBTOTAL(9,H14:H17)</f>
        <v>0</v>
      </c>
      <c r="I18" s="866">
        <f t="shared" si="10"/>
        <v>0</v>
      </c>
      <c r="J18" s="866">
        <f t="shared" si="10"/>
        <v>0</v>
      </c>
      <c r="K18" s="866">
        <f t="shared" si="10"/>
        <v>0</v>
      </c>
      <c r="L18" s="866">
        <f t="shared" si="10"/>
        <v>16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1801</v>
      </c>
      <c r="X18" s="866">
        <f t="shared" si="11"/>
        <v>84</v>
      </c>
      <c r="Y18" s="867">
        <f t="shared" si="11"/>
        <v>1885</v>
      </c>
      <c r="Z18" s="867">
        <f t="shared" si="11"/>
        <v>0</v>
      </c>
      <c r="AA18" s="867">
        <f t="shared" si="11"/>
        <v>2832</v>
      </c>
      <c r="AB18" s="867">
        <f t="shared" si="11"/>
        <v>168</v>
      </c>
      <c r="AC18" s="867">
        <f t="shared" si="11"/>
        <v>3000</v>
      </c>
      <c r="AD18" s="867">
        <f t="shared" si="11"/>
        <v>0</v>
      </c>
      <c r="AE18" s="871">
        <f t="shared" si="11"/>
        <v>0</v>
      </c>
      <c r="AF18" s="864">
        <f t="shared" si="11"/>
        <v>0</v>
      </c>
      <c r="AG18" s="872">
        <f t="shared" si="11"/>
        <v>0</v>
      </c>
      <c r="AH18" s="869">
        <f t="shared" si="11"/>
        <v>0</v>
      </c>
      <c r="AI18" s="864">
        <f t="shared" si="11"/>
        <v>176</v>
      </c>
      <c r="AJ18" s="866">
        <f t="shared" si="11"/>
        <v>0</v>
      </c>
      <c r="AK18" s="869">
        <f t="shared" si="11"/>
        <v>0</v>
      </c>
      <c r="AL18" s="873">
        <f>IF(ISNUMBER(NºAsuntos!G18/NºAsuntos!E18),NºAsuntos!G18/NºAsuntos!E18," - ")</f>
        <v>1.0855937311633514</v>
      </c>
      <c r="AM18" s="873">
        <f>IF(ISNUMBER(((NºAsuntos!I18/NºAsuntos!G18)*11)/factor_trimestre),((NºAsuntos!I18/NºAsuntos!G18)*11)/factor_trimestre," - ")</f>
        <v>4.717379233759023</v>
      </c>
      <c r="AN18" s="874">
        <f>IF(ISNUMBER('Resol  Asuntos'!D18/NºAsuntos!G18),'Resol  Asuntos'!D18/NºAsuntos!G18," - ")</f>
        <v>9.77234869516935E-2</v>
      </c>
      <c r="AO18" s="875">
        <f>IF(ISNUMBER((NºAsuntos!C18+NºAsuntos!E18)/NºAsuntos!G18),(NºAsuntos!C18+NºAsuntos!E18)/NºAsuntos!G18," - ")</f>
        <v>2.5713492504164353</v>
      </c>
      <c r="AP18" s="876" t="str">
        <f t="shared" si="2"/>
        <v xml:space="preserve"> - </v>
      </c>
      <c r="AQ18" s="876">
        <f>IF(ISNUMBER((H18-W18+K18)/(F18)),(H18-W18+K18)/(F18)," - ")</f>
        <v>-0.65610200364298721</v>
      </c>
      <c r="AR18" s="877">
        <f>IF(ISNUMBER((Datos!P18-Datos!Q18)/(Datos!R18-Datos!P18+Datos!Q18)),(Datos!P18-Datos!Q18)/(Datos!R18-Datos!P18+Datos!Q18)," - ")</f>
        <v>-0.28813559322033899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2800</v>
      </c>
      <c r="G19" s="820">
        <f t="shared" si="13"/>
        <v>3027</v>
      </c>
      <c r="H19" s="819">
        <f t="shared" si="13"/>
        <v>0</v>
      </c>
      <c r="I19" s="821">
        <f t="shared" si="13"/>
        <v>0</v>
      </c>
      <c r="J19" s="821">
        <f t="shared" si="13"/>
        <v>0</v>
      </c>
      <c r="K19" s="880">
        <f t="shared" si="13"/>
        <v>0</v>
      </c>
      <c r="L19" s="821">
        <f t="shared" si="13"/>
        <v>609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1826</v>
      </c>
      <c r="X19" s="820">
        <f t="shared" si="14"/>
        <v>292</v>
      </c>
      <c r="Y19" s="827">
        <f t="shared" si="14"/>
        <v>2118</v>
      </c>
      <c r="Z19" s="827">
        <f t="shared" si="14"/>
        <v>0</v>
      </c>
      <c r="AA19" s="827">
        <f t="shared" si="14"/>
        <v>2882</v>
      </c>
      <c r="AB19" s="827">
        <f t="shared" si="14"/>
        <v>9979</v>
      </c>
      <c r="AC19" s="827">
        <f t="shared" si="14"/>
        <v>3074</v>
      </c>
      <c r="AD19" s="827">
        <f t="shared" si="14"/>
        <v>0</v>
      </c>
      <c r="AE19" s="829">
        <f t="shared" si="14"/>
        <v>0</v>
      </c>
      <c r="AF19" s="830">
        <f t="shared" si="14"/>
        <v>0</v>
      </c>
      <c r="AG19" s="831">
        <f t="shared" si="14"/>
        <v>0</v>
      </c>
      <c r="AH19" s="829">
        <f t="shared" si="14"/>
        <v>0</v>
      </c>
      <c r="AI19" s="819">
        <f t="shared" si="14"/>
        <v>660</v>
      </c>
      <c r="AJ19" s="819">
        <f t="shared" si="14"/>
        <v>0</v>
      </c>
      <c r="AK19" s="829">
        <f t="shared" si="14"/>
        <v>0</v>
      </c>
      <c r="AL19" s="883">
        <f>IF(ISNUMBER(NºAsuntos!G19/NºAsuntos!E19),NºAsuntos!G19/NºAsuntos!E19," - ")</f>
        <v>1.3499317871759891</v>
      </c>
      <c r="AM19" s="884">
        <f>IF(ISNUMBER(((NºAsuntos!I19/NºAsuntos!G19)*11)/factor_trimestre),((NºAsuntos!I19/NºAsuntos!G19)*11)/factor_trimestre," - ")</f>
        <v>8.6407276402223339</v>
      </c>
      <c r="AN19" s="884">
        <f>IF(ISNUMBER('Resol  Asuntos'!D19/NºAsuntos!G19),'Resol  Asuntos'!D19/NºAsuntos!G19," - ")</f>
        <v>0.16675088428499241</v>
      </c>
      <c r="AO19" s="885">
        <f>IF(ISNUMBER((NºAsuntos!C19+NºAsuntos!E19)/NºAsuntos!G19),(NºAsuntos!C19+NºAsuntos!E19)/NºAsuntos!G19," - ")</f>
        <v>3.8797372410308237</v>
      </c>
      <c r="AP19" s="886" t="str">
        <f t="shared" si="2"/>
        <v xml:space="preserve"> - </v>
      </c>
      <c r="AQ19" s="887">
        <f>IF(OR(ISNUMBER(FIND("01",Criterios!A8,1)),ISNUMBER(FIND("02",Criterios!A8,1)),ISNUMBER(FIND("03",Criterios!A8,1)),ISNUMBER(FIND("04",Criterios!A8,1))),(I19-W19+K19)/(F19-K19),(H19-W19+K19)/(F19-K19))</f>
        <v>-0.65214285714285714</v>
      </c>
      <c r="AR19" s="888">
        <f>IF(ISNUMBER((Datos!P19-Datos!Q19)/(Datos!R19-Datos!P19+Datos!Q19)),(Datos!P19-Datos!Q19)/(Datos!R19-Datos!P19+Datos!Q19)," - ")</f>
        <v>3.2808942247981782E-2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1210.8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3.7785946829182113</v>
      </c>
      <c r="F21" s="251">
        <f>IF(ISNUMBER(STDEV(F8:F18)),STDEV(F8:F18),"-")</f>
        <v>1553.0722241200933</v>
      </c>
      <c r="G21" s="252">
        <f>IF(ISNUMBER(STDEV(G8:G18)),STDEV(G8:G18),"-")</f>
        <v>1507.0783655802375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912.24108655552232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214.28299045887891</v>
      </c>
      <c r="AJ21" s="251">
        <f t="shared" si="18"/>
        <v>0</v>
      </c>
      <c r="AK21" s="253">
        <f t="shared" si="18"/>
        <v>0</v>
      </c>
      <c r="AL21" s="248">
        <f t="shared" si="18"/>
        <v>0.29287026782843301</v>
      </c>
      <c r="AM21" s="249">
        <f t="shared" si="18"/>
        <v>3.7813131933145714</v>
      </c>
      <c r="AN21" s="249">
        <f t="shared" si="18"/>
        <v>6.242241618999167E-2</v>
      </c>
      <c r="AO21" s="250">
        <f t="shared" si="18"/>
        <v>1.2607324687968668</v>
      </c>
      <c r="AP21" s="290" t="str">
        <f t="shared" si="18"/>
        <v>-</v>
      </c>
      <c r="AQ21" s="291">
        <f t="shared" si="18"/>
        <v>0.14252200265942475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kJ4SP2MRNyVKojT/DSLqPlulV+ElTQxusOEpjJrIvB9TRMNVbouHk6WaAeppQTnERmSbBqA6VTvWRHs6jWuMgg==" saltValue="U8x78i7X3BKFyYo4aT2v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DOS HERMANAS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0.48648648648648651</v>
      </c>
      <c r="E10" s="347">
        <f>IF(ISNUMBER((Datos!J10-Datos!T10)/Datos!T10),(Datos!J10-Datos!T10)/Datos!T10," - ")</f>
        <v>-0.13043478260869565</v>
      </c>
      <c r="F10" s="347">
        <f>IF(ISNUMBER((Datos!K10-Datos!U10)/Datos!U10),(Datos!K10-Datos!U10)/Datos!U10," - ")</f>
        <v>7.333333333333333</v>
      </c>
      <c r="G10" s="348">
        <f>IF(ISNUMBER((Datos!L10-Datos!V10)/Datos!V10),(Datos!L10-Datos!V10)/Datos!V10," - ")</f>
        <v>8.6956521739130432E-2</v>
      </c>
      <c r="H10" s="229">
        <f>IF(ISNUMBER((Datos!M10-Datos!W10)/Datos!W10),(Datos!M10-Datos!W10)/Datos!W10," - ")</f>
        <v>4</v>
      </c>
      <c r="I10" s="349">
        <f>IF(ISNUMBER((Tasas!C10-Datos!BE10)/Datos!BE10),(Tasas!C10-Datos!BE10)/Datos!BE10," - ")</f>
        <v>-0.86956521739130432</v>
      </c>
      <c r="J10" s="348">
        <f>IF(ISNUMBER((Tasas!D10-Datos!BF10)/Datos!BF10),(Tasas!D10-Datos!BF10)/Datos!BF10," - ")</f>
        <v>-0.39999999999999991</v>
      </c>
      <c r="K10" s="350">
        <f>IF(ISNUMBER((Tasas!E10-Datos!BG10)/Datos!BG10),(Tasas!E10-Datos!BG10)/Datos!BG10," - ")</f>
        <v>-0.85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0.10879629629629629</v>
      </c>
      <c r="I12" s="349">
        <f>IF(ISNUMBER((Tasas!C12-Datos!BE12)/Datos!BE12),(Tasas!C12-Datos!BE12)/Datos!BE12," - ")</f>
        <v>-0.15356059033642222</v>
      </c>
      <c r="J12" s="348">
        <f>IF(ISNUMBER((Tasas!D12-Datos!BF12)/Datos!BF12),(Tasas!D12-Datos!BF12)/Datos!BF12," - ")</f>
        <v>-0.33281622382232129</v>
      </c>
      <c r="K12" s="350">
        <f>IF(ISNUMBER((Tasas!E12-Datos!BG12)/Datos!BG12),(Tasas!E12-Datos!BG12)/Datos!BG12," - ")</f>
        <v>-0.12671497400672557</v>
      </c>
      <c r="M12" t="e">
        <f>IF(Monitorios="SI",Datos!CE12,0)</f>
        <v>#REF!</v>
      </c>
      <c r="N12" t="e">
        <f>IF(Monitorios="SI",Datos!CF12,0)</f>
        <v>#REF!</v>
      </c>
      <c r="O12" t="e">
        <f>IF(Monitorios="SI",Datos!CG12,0)</f>
        <v>#REF!</v>
      </c>
      <c r="P12" t="e">
        <f>IF(Monitorios="SI",Datos!CH12,0)</f>
        <v>#REF!</v>
      </c>
      <c r="Q12">
        <f>IF(J_V="SI",0,Datos!AG12)</f>
        <v>321</v>
      </c>
      <c r="R12">
        <f>IF(J_V="SI",0,Datos!AH12)</f>
        <v>119</v>
      </c>
      <c r="S12">
        <f>IF(J_V="SI",0,Datos!AI12)</f>
        <v>137</v>
      </c>
      <c r="T12">
        <f>IF(J_V="SI",0,Datos!AJ12)</f>
        <v>303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0.11778290993071594</v>
      </c>
      <c r="I13" s="356">
        <f>IF(ISNUMBER((Tasas!C13-Datos!BE13)/Datos!BE13),(Tasas!C13-Datos!BE13)/Datos!BE13," - ")</f>
        <v>-0.16167122494889433</v>
      </c>
      <c r="J13" s="354">
        <f>IF(ISNUMBER((Tasas!D13-Datos!BF13)/Datos!BF13),(Tasas!D13-Datos!BF13)/Datos!BF13," - ")</f>
        <v>-0.33365387096093269</v>
      </c>
      <c r="K13" s="357">
        <f>IF(ISNUMBER((Tasas!E13-Datos!BG13)/Datos!BG13),(Tasas!E13-Datos!BG13)/Datos!BG13," - ")</f>
        <v>-0.13443897795310136</v>
      </c>
      <c r="M13" t="e">
        <f>IF(Monitorios="SI",Datos!CE13,0)</f>
        <v>#REF!</v>
      </c>
      <c r="N13" t="e">
        <f>IF(Monitorios="SI",Datos!CF13,0)</f>
        <v>#REF!</v>
      </c>
      <c r="O13" t="e">
        <f>IF(Monitorios="SI",Datos!CG13,0)</f>
        <v>#REF!</v>
      </c>
      <c r="P13" t="e">
        <f>IF(Monitorios="SI",Datos!CH13,0)</f>
        <v>#REF!</v>
      </c>
      <c r="Q13">
        <f>IF(J_V="SI",0,Datos!AG13)</f>
        <v>321</v>
      </c>
      <c r="R13">
        <f>IF(J_V="SI",0,Datos!AH13)</f>
        <v>119</v>
      </c>
      <c r="S13">
        <f>IF(J_V="SI",0,Datos!AI13)</f>
        <v>137</v>
      </c>
      <c r="T13">
        <f>IF(J_V="SI",0,Datos!AJ13)</f>
        <v>303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0.10962783171521036</v>
      </c>
      <c r="E16" s="347">
        <f>IF(ISNUMBER(
   IF(D_I="SI",(Datos!J16-Datos!T16)/Datos!T16,(Datos!J16+Datos!AD16-(Datos!T16+Datos!AL16))/(Datos!T16+Datos!AL16))
     ),IF(D_I="SI",(Datos!J16-Datos!T16)/Datos!T16,(Datos!J16+Datos!AD16-(Datos!T16+Datos!AL16))/(Datos!T16+Datos!AL16))," - ")</f>
        <v>-1.452020202020202E-2</v>
      </c>
      <c r="F16" s="347">
        <f>IF(ISNUMBER(
   IF(D_I="SI",(Datos!K16-Datos!U16)/Datos!U16,(Datos!K16+Datos!AE16-(Datos!U16+Datos!AM16))/(Datos!U16+Datos!AM16))
     ),IF(D_I="SI",(Datos!K16-Datos!U16)/Datos!U16,(Datos!K16+Datos!AE16-(Datos!U16+Datos!AM16))/(Datos!U16+Datos!AM16))," - ")</f>
        <v>0.19623461259956554</v>
      </c>
      <c r="G16" s="348">
        <f>IF(ISNUMBER(
   IF(D_I="SI",(Datos!L16-Datos!V16)/Datos!V16,(Datos!L16+Datos!AF16-(Datos!V16+Datos!AN16))/(Datos!V16+Datos!AN16))
     ),IF(D_I="SI",(Datos!L16-Datos!V16)/Datos!V16,(Datos!L16+Datos!AF16-(Datos!V16+Datos!AN16))/(Datos!V16+Datos!AN16))," - ")</f>
        <v>7.7110389610389615E-2</v>
      </c>
      <c r="H16" s="229">
        <f>IF(ISNUMBER((Datos!M16-Datos!W16)/Datos!W16),(Datos!M16-Datos!W16)/Datos!W16," - ")</f>
        <v>-8.1395348837209308E-2</v>
      </c>
      <c r="I16" s="349">
        <f>IF(ISNUMBER((Tasas!C16-Datos!BE16)/Datos!BE16),(Tasas!C16-Datos!BE16)/Datos!BE16," - ")</f>
        <v>-9.9582658564196111E-2</v>
      </c>
      <c r="J16" s="348">
        <f>IF(ISNUMBER((Tasas!D16-Datos!BF16)/Datos!BF16),(Tasas!D16-Datos!BF16)/Datos!BF16," - ")</f>
        <v>-0.23208654766597223</v>
      </c>
      <c r="K16" s="350">
        <f>IF(ISNUMBER((Tasas!E16-Datos!BG16)/Datos!BG16),(Tasas!E16-Datos!BG16)/Datos!BG16," - ")</f>
        <v>-0.11292987759741348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0.33918128654970758</v>
      </c>
      <c r="E17" s="347">
        <f>IF(ISNUMBER(
   IF(D_I="SI",(Datos!J17-Datos!T17)/Datos!T17,(Datos!J17+Datos!AD17-(Datos!T17+Datos!AL17))/(Datos!T17+Datos!AL17))
     ),IF(D_I="SI",(Datos!J17-Datos!T17)/Datos!T17,(Datos!J17+Datos!AD17-(Datos!T17+Datos!AL17))/(Datos!T17+Datos!AL17))," - ")</f>
        <v>-0.51485148514851486</v>
      </c>
      <c r="F17" s="347">
        <f>IF(ISNUMBER(
   IF(D_I="SI",(Datos!K17-Datos!U17)/Datos!U17,(Datos!K17+Datos!AE17-(Datos!U17+Datos!AM17))/(Datos!U17+Datos!AM17))
     ),IF(D_I="SI",(Datos!K17-Datos!U17)/Datos!U17,(Datos!K17+Datos!AE17-(Datos!U17+Datos!AM17))/(Datos!U17+Datos!AM17))," - ")</f>
        <v>-0.38174273858921159</v>
      </c>
      <c r="G17" s="348">
        <f>IF(ISNUMBER(
   IF(D_I="SI",(Datos!L17-Datos!V17)/Datos!V17,(Datos!L17+Datos!AF17-(Datos!V17+Datos!AN17))/(Datos!V17+Datos!AN17))
     ),IF(D_I="SI",(Datos!L17-Datos!V17)/Datos!V17,(Datos!L17+Datos!AF17-(Datos!V17+Datos!AN17))/(Datos!V17+Datos!AN17))," - ")</f>
        <v>-8.247422680412371E-2</v>
      </c>
      <c r="H17" s="229">
        <f>IF(ISNUMBER((Datos!M17-Datos!W17)/Datos!W17),(Datos!M17-Datos!W17)/Datos!W17," - ")</f>
        <v>-0.14285714285714285</v>
      </c>
      <c r="I17" s="349">
        <f>IF(ISNUMBER((Tasas!C17-Datos!BE17)/Datos!BE17),(Tasas!C17-Datos!BE17)/Datos!BE17," - ")</f>
        <v>0.48405175396111533</v>
      </c>
      <c r="J17" s="348">
        <f>IF(ISNUMBER((Tasas!D17-Datos!BF17)/Datos!BF17),(Tasas!D17-Datos!BF17)/Datos!BF17," - ")</f>
        <v>0.38638542665388315</v>
      </c>
      <c r="K17" s="350">
        <f>IF(ISNUMBER((Tasas!E17-Datos!BG17)/Datos!BG17),(Tasas!E17-Datos!BG17)/Datos!BG17," - ")</f>
        <v>0.4179786602371483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0.12447975785092698</v>
      </c>
      <c r="E18" s="353">
        <f>IF(ISNUMBER(
   IF(D_I="SI",(Datos!J18-Datos!T18)/Datos!T18,(Datos!J18+Datos!AD18-(Datos!T18+Datos!AL18))/(Datos!T18+Datos!AL18))
     ),IF(D_I="SI",(Datos!J18-Datos!T18)/Datos!T18,(Datos!J18+Datos!AD18-(Datos!T18+Datos!AL18))/(Datos!T18+Datos!AL18))," - ")</f>
        <v>-7.1108622620380743E-2</v>
      </c>
      <c r="F18" s="353">
        <f>IF(ISNUMBER(
   IF(D_I="SI",(Datos!K18-Datos!U18)/Datos!U18,(Datos!K18+Datos!AE18-(Datos!U18+Datos!AM18))/(Datos!U18+Datos!AM18))
     ),IF(D_I="SI",(Datos!K18-Datos!U18)/Datos!U18,(Datos!K18+Datos!AE18-(Datos!U18+Datos!AM18))/(Datos!U18+Datos!AM18))," - ")</f>
        <v>0.11035758323057954</v>
      </c>
      <c r="G18" s="354">
        <f>IF(ISNUMBER(
   IF(D_I="SI",(Datos!L18-Datos!V18)/Datos!V18,(Datos!L18+Datos!AF18-(Datos!V18+Datos!AN18))/(Datos!V18+Datos!AN18))
     ),IF(D_I="SI",(Datos!L18-Datos!V18)/Datos!V18,(Datos!L18+Datos!AF18-(Datos!V18+Datos!AN18))/(Datos!V18+Datos!AN18))," - ")</f>
        <v>6.5462753950338598E-2</v>
      </c>
      <c r="H18" s="355">
        <f>IF(ISNUMBER((Datos!M18-Datos!W18)/Datos!W18),(Datos!M18-Datos!W18)/Datos!W18," - ")</f>
        <v>-8.8082901554404139E-2</v>
      </c>
      <c r="I18" s="356">
        <f>IF(ISNUMBER((Tasas!C18-Datos!BE18)/Datos!BE18),(Tasas!C18-Datos!BE18)/Datos!BE18," - ")</f>
        <v>-4.0432766847612912E-2</v>
      </c>
      <c r="J18" s="354">
        <f>IF(ISNUMBER((Tasas!D18-Datos!BF18)/Datos!BF18),(Tasas!D18-Datos!BF18)/Datos!BF18," - ")</f>
        <v>-0.17871763815727015</v>
      </c>
      <c r="K18" s="357">
        <f>IF(ISNUMBER((Tasas!E18-Datos!BG18)/Datos!BG18),(Tasas!E18-Datos!BG18)/Datos!BG18," - ")</f>
        <v>-5.831373127670849E-2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0.18087634255298926</v>
      </c>
      <c r="E19" s="362">
        <f>IF(ISNUMBER(
   IF(J_V="SI",(Datos!J19-Datos!T19)/Datos!T19,(Datos!J19+Datos!Z19-(Datos!T19+Datos!AH19))/(Datos!T19+Datos!AH19))
     ),IF(J_V="SI",(Datos!J19-Datos!T19)/Datos!T19,(Datos!J19+Datos!Z19-(Datos!T19+Datos!AH19))/(Datos!T19+Datos!AH19))," - ")</f>
        <v>-0.27137176938369784</v>
      </c>
      <c r="F19" s="362">
        <f>IF(ISNUMBER(
   IF(J_V="SI",(Datos!K19-Datos!U19)/Datos!U19,(Datos!K19+Datos!AA19-(Datos!U19+Datos!AI19))/(Datos!U19+Datos!AI19))
     ),IF(J_V="SI",(Datos!K19-Datos!U19)/Datos!U19,(Datos!K19+Datos!AA19-(Datos!U19+Datos!AI19))/(Datos!U19+Datos!AI19))," - ")</f>
        <v>0.16996748448122967</v>
      </c>
      <c r="G19" s="363">
        <f>IF(ISNUMBER(
   IF(J_V="SI",(Datos!L19-Datos!V19)/Datos!V19,(Datos!L19+Datos!AB19-(Datos!V19+Datos!AJ19))/(Datos!V19+Datos!AJ19))
     ),IF(J_V="SI",(Datos!L19-Datos!V19)/Datos!V19,(Datos!L19+Datos!AB19-(Datos!V19+Datos!AJ19))/(Datos!V19+Datos!AJ19))," - ")</f>
        <v>3.617524086529722E-2</v>
      </c>
      <c r="H19" s="364">
        <f>IF(ISNUMBER((Datos!M19-Datos!W19)/Datos!W19),(Datos!M19-Datos!W19)/Datos!W19," - ")</f>
        <v>5.4313099041533544E-2</v>
      </c>
      <c r="I19" s="361">
        <f>IF(ISNUMBER((Tasas!C19-Datos!BE19)/Datos!BE19),(Tasas!C19-Datos!BE19)/Datos!BE19," - ")</f>
        <v>-0.11435552302998989</v>
      </c>
      <c r="J19" s="362">
        <f>IF(ISNUMBER((Tasas!D19-Datos!BF19)/Datos!BF19),(Tasas!D19-Datos!BF19)/Datos!BF19," - ")</f>
        <v>-0.28229231356726553</v>
      </c>
      <c r="K19" s="363">
        <f>IF(ISNUMBER((Tasas!E19-Datos!BG19)/Datos!BG19),(Tasas!E19-Datos!BG19)/Datos!BG19," - ")</f>
        <v>-9.7617663361479798E-2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0.18114962828737224</v>
      </c>
      <c r="E21" s="277">
        <f t="shared" si="1"/>
        <v>0.22641653258082081</v>
      </c>
      <c r="F21" s="277">
        <f t="shared" si="1"/>
        <v>3.6879934815675788</v>
      </c>
      <c r="G21" s="278">
        <f t="shared" si="1"/>
        <v>7.9976024746464563E-2</v>
      </c>
      <c r="H21" s="284">
        <f t="shared" si="1"/>
        <v>1.6435906205830975</v>
      </c>
      <c r="I21" s="276">
        <f t="shared" si="1"/>
        <v>0.43218205159665185</v>
      </c>
      <c r="J21" s="277">
        <f t="shared" si="1"/>
        <v>0.28943035554691987</v>
      </c>
      <c r="K21" s="278">
        <f t="shared" si="1"/>
        <v>0.40569783330347142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6m3qRmy4VbC875Zjl2PgWUJZKr0svyKhQPl4aSVS99ssY1StcnwcuXK85ErEoUdddayurV96gz0wJCWulu8OQ==" saltValue="dWXPL26+0bmXLuEVK5Cm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